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I:\AC1000R\Dec22\9-1-23 Filing\For CDI\"/>
    </mc:Choice>
  </mc:AlternateContent>
  <xr:revisionPtr revIDLastSave="0" documentId="13_ncr:1_{EFCAC500-8F8B-43B4-9FE1-54A3450EC497}" xr6:coauthVersionLast="47" xr6:coauthVersionMax="47" xr10:uidLastSave="{00000000-0000-0000-0000-000000000000}"/>
  <bookViews>
    <workbookView xWindow="-110" yWindow="-110" windowWidth="19420" windowHeight="10420" tabRatio="834" firstSheet="15" activeTab="24" xr2:uid="{00000000-000D-0000-FFFF-FFFF00000000}"/>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8" sheetId="31" r:id="rId12"/>
    <sheet name="Exhibits 2.5.9 - 2.5.12" sheetId="42" r:id="rId13"/>
    <sheet name="Exhibit 2.6.1" sheetId="16" r:id="rId14"/>
    <sheet name="Exhibit 2.6.2" sheetId="17" r:id="rId15"/>
    <sheet name="Exhibits 2.6.3 - 2.6.8" sheetId="32" r:id="rId16"/>
    <sheet name="Exhibit 3.1" sheetId="3" r:id="rId17"/>
    <sheet name="Exhibit 3.2" sheetId="18" r:id="rId18"/>
    <sheet name="Exhibit 4.1" sheetId="4" r:id="rId19"/>
    <sheet name="Exhibit 4.2" sheetId="22" r:id="rId20"/>
    <sheet name="Exhibit 4.3" sheetId="23" r:id="rId21"/>
    <sheet name="Exhibit 4.4" sheetId="24" r:id="rId22"/>
    <sheet name="Exhibit 5.1" sheetId="5" r:id="rId23"/>
    <sheet name="Exhibit 5.2" sheetId="25" r:id="rId24"/>
    <sheet name="Exhibit 6.1" sheetId="6" r:id="rId25"/>
    <sheet name="Exhibit 6.2" sheetId="26" r:id="rId26"/>
    <sheet name="Exhibit 6.3" sheetId="27" r:id="rId27"/>
    <sheet name="Exhibit 6.4" sheetId="28" r:id="rId28"/>
    <sheet name="Exhibit 7.1" sheetId="7" r:id="rId29"/>
    <sheet name="Exhibit 7.2 - BS Method" sheetId="35" r:id="rId30"/>
    <sheet name="Exhibit 7.3" sheetId="29" r:id="rId31"/>
    <sheet name="Exhibit 7.4 - BS Method" sheetId="36" r:id="rId32"/>
    <sheet name="Exhibit 8" sheetId="8" r:id="rId33"/>
  </sheets>
  <externalReferences>
    <externalReference r:id="rId34"/>
    <externalReference r:id="rId35"/>
    <externalReference r:id="rId36"/>
    <externalReference r:id="rId37"/>
  </externalReferences>
  <definedNames>
    <definedName name="APY">#REF!</definedName>
    <definedName name="asdf">#REF!</definedName>
    <definedName name="AY">'Exhibits 2.5.3 - 2.5.8'!#REF!</definedName>
    <definedName name="EPYear">'[1]Market Share'!$E$1</definedName>
    <definedName name="EX2_3Hybrid">[2]Exh2_3_Selected!$AJ$6:$AP$37</definedName>
    <definedName name="FreqExh">#REF!</definedName>
    <definedName name="IndemTail">[2]Exh2_1!$I$43</definedName>
    <definedName name="IndTrend">[2]Exh_7.1_Paid_BS_Latest_Yr!$H$71</definedName>
    <definedName name="MedCPI_Change">'[2]Exh4.2 Agenda'!$BM$2:$CP$65</definedName>
    <definedName name="MedicalSeverityTrend">'[3]Exhibit 6.3'!$L$38</definedName>
    <definedName name="MedTail">[2]Exh2_2!$I$42</definedName>
    <definedName name="MedTrend">[2]Exh_7.3_Paid_BS__Latest_Yr!$H$71</definedName>
    <definedName name="midTailAge">#REF!</definedName>
    <definedName name="PPY">#REF!</definedName>
    <definedName name="_xlnm.Print_Area" localSheetId="6">'Exhibit 2.3.2'!$A$1:$W$35</definedName>
    <definedName name="_xlnm.Print_Area" localSheetId="7">'Exhibit 2.4.1'!$A$1:$Q$64</definedName>
    <definedName name="_xlnm.Print_Area" localSheetId="9">'Exhibit 2.5.1'!$A$1:$V$37</definedName>
    <definedName name="_xlnm.Print_Area" localSheetId="10">'Exhibit 2.5.2'!$A$1:$R$32</definedName>
    <definedName name="_xlnm.Print_Area" localSheetId="13">'Exhibit 2.6.1'!$A$1:$V$44</definedName>
    <definedName name="_xlnm.Print_Area" localSheetId="16">'Exhibit 3.1'!$A$1:$G$48</definedName>
    <definedName name="_xlnm.Print_Area" localSheetId="17">'Exhibit 3.2'!$A$1:$G$53</definedName>
    <definedName name="_xlnm.Print_Area" localSheetId="18">'Exhibit 4.1'!$A$1:$M$53</definedName>
    <definedName name="_xlnm.Print_Area" localSheetId="19">'Exhibit 4.2'!$A$1:$M$53</definedName>
    <definedName name="_xlnm.Print_Area" localSheetId="20">'Exhibit 4.3'!$A$1:$H$50</definedName>
    <definedName name="_xlnm.Print_Area" localSheetId="21">'Exhibit 4.4'!$A$1:$I$54</definedName>
    <definedName name="_xlnm.Print_Area" localSheetId="22">'Exhibit 5.1'!$A$1:$G$54</definedName>
    <definedName name="_xlnm.Print_Area" localSheetId="23">'Exhibit 5.2'!$A$1:$S$59</definedName>
    <definedName name="_xlnm.Print_Area" localSheetId="24">'Exhibit 6.1'!$A$1:$H$79</definedName>
    <definedName name="_xlnm.Print_Area" localSheetId="26">'Exhibit 6.3'!$A$1:$M$52</definedName>
    <definedName name="_xlnm.Print_Area" localSheetId="27">'Exhibit 6.4'!$A$1:$Q$44</definedName>
    <definedName name="_xlnm.Print_Area" localSheetId="28">'Exhibit 7.1'!$A$1:$J$54</definedName>
    <definedName name="_xlnm.Print_Area" localSheetId="29">'Exhibit 7.2 - BS Method'!$A$1:$K$46</definedName>
    <definedName name="_xlnm.Print_Area" localSheetId="30">'Exhibit 7.3'!$A$1:$I$55</definedName>
    <definedName name="_xlnm.Print_Area" localSheetId="31">'Exhibit 7.4 - BS Method'!$A$1:$K$46</definedName>
    <definedName name="_xlnm.Print_Area" localSheetId="32">'Exhibit 8'!$A$1:$O$19</definedName>
    <definedName name="_xlnm.Print_Area" localSheetId="11">'Exhibits 2.5.3 - 2.5.8'!$A$1:$L$343</definedName>
    <definedName name="_xlnm.Print_Area" localSheetId="12">'Exhibits 2.5.9 - 2.5.12'!$A$1:$M$225</definedName>
    <definedName name="_xlnm.Print_Area" localSheetId="15">'Exhibits 2.6.3 - 2.6.8'!$A$1:$L$349</definedName>
    <definedName name="QDate">#REF!</definedName>
    <definedName name="tailAge">#REF!</definedName>
    <definedName name="TypeOfInjury">#REF!</definedName>
    <definedName name="Voucher_VR">#REF!</definedName>
    <definedName name="VQ">#REF!</definedName>
    <definedName name="V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7" l="1"/>
  <c r="L49" i="7"/>
  <c r="L48" i="7"/>
  <c r="D26" i="17"/>
  <c r="C26" i="17"/>
  <c r="B26" i="17"/>
  <c r="G311" i="31"/>
  <c r="T9" i="8" l="1"/>
  <c r="J30" i="28"/>
  <c r="J29" i="28"/>
  <c r="J28" i="28"/>
  <c r="J27" i="28"/>
  <c r="J26" i="28"/>
  <c r="J25" i="28"/>
  <c r="J24" i="28"/>
  <c r="J23" i="28"/>
  <c r="J22" i="28"/>
  <c r="J21" i="28"/>
  <c r="J20" i="28"/>
  <c r="J19" i="28"/>
  <c r="B18" i="28"/>
  <c r="B17" i="28"/>
  <c r="B16" i="28"/>
  <c r="B15" i="28"/>
  <c r="B14" i="28"/>
  <c r="B13" i="28"/>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G44" i="5"/>
  <c r="G43" i="5" s="1"/>
  <c r="G42" i="5" s="1"/>
  <c r="G41" i="5" l="1"/>
  <c r="G40" i="5" s="1"/>
  <c r="G39" i="5" s="1"/>
  <c r="G38" i="5" s="1"/>
  <c r="G37" i="5" s="1"/>
  <c r="G36" i="5" s="1"/>
  <c r="G35" i="5" s="1"/>
  <c r="G34" i="5" s="1"/>
  <c r="G33" i="5" s="1"/>
  <c r="G32" i="5" s="1"/>
  <c r="G31" i="5" s="1"/>
  <c r="G30" i="5" s="1"/>
  <c r="G29" i="5" s="1"/>
  <c r="G28" i="5" s="1"/>
  <c r="G27" i="5" s="1"/>
  <c r="G26" i="5" s="1"/>
  <c r="G25" i="5" s="1"/>
  <c r="G24" i="5" s="1"/>
  <c r="G23" i="5" s="1"/>
  <c r="G22" i="5" s="1"/>
  <c r="G21" i="5" s="1"/>
  <c r="G20" i="5" s="1"/>
  <c r="G19" i="5" s="1"/>
  <c r="G18" i="5" s="1"/>
  <c r="G17" i="5" s="1"/>
  <c r="G16" i="5" s="1"/>
  <c r="G15" i="5" s="1"/>
  <c r="G14" i="5" s="1"/>
  <c r="G13" i="5" s="1"/>
  <c r="G12" i="5" s="1"/>
  <c r="G11" i="5" s="1"/>
  <c r="G10" i="5" s="1"/>
  <c r="L42" i="22"/>
  <c r="L40" i="22"/>
  <c r="L34" i="22"/>
  <c r="L11" i="22"/>
  <c r="L16" i="22"/>
  <c r="L18" i="22"/>
  <c r="L19" i="22"/>
  <c r="L24" i="22"/>
  <c r="L25" i="22"/>
  <c r="L26" i="22"/>
  <c r="L27" i="22"/>
  <c r="L32" i="22"/>
  <c r="L8" i="22"/>
  <c r="J46" i="22"/>
  <c r="L46" i="22" s="1"/>
  <c r="J45" i="22"/>
  <c r="L45" i="22" s="1"/>
  <c r="J44" i="22"/>
  <c r="L44" i="22" s="1"/>
  <c r="J43" i="22"/>
  <c r="L43" i="22" s="1"/>
  <c r="J42" i="22"/>
  <c r="J41" i="22"/>
  <c r="L41" i="22" s="1"/>
  <c r="J40" i="22"/>
  <c r="J39" i="22"/>
  <c r="L39" i="22" s="1"/>
  <c r="J38" i="22"/>
  <c r="L38" i="22" s="1"/>
  <c r="J37" i="22"/>
  <c r="L37" i="22" s="1"/>
  <c r="J36" i="22"/>
  <c r="L36" i="22" s="1"/>
  <c r="J35" i="22"/>
  <c r="L35" i="22" s="1"/>
  <c r="J34" i="22"/>
  <c r="J33" i="22"/>
  <c r="L33" i="22" s="1"/>
  <c r="J32" i="22"/>
  <c r="J31" i="22"/>
  <c r="L31" i="22" s="1"/>
  <c r="J30" i="22"/>
  <c r="L30" i="22" s="1"/>
  <c r="J29" i="22"/>
  <c r="L29" i="22" s="1"/>
  <c r="J28" i="22"/>
  <c r="L28" i="22" s="1"/>
  <c r="J27" i="22"/>
  <c r="J26" i="22"/>
  <c r="J25" i="22"/>
  <c r="J24" i="22"/>
  <c r="J23" i="22"/>
  <c r="L23" i="22" s="1"/>
  <c r="J22" i="22"/>
  <c r="L22" i="22" s="1"/>
  <c r="J21" i="22"/>
  <c r="L21" i="22" s="1"/>
  <c r="J20" i="22"/>
  <c r="L20" i="22" s="1"/>
  <c r="J19" i="22"/>
  <c r="J18" i="22"/>
  <c r="J17" i="22"/>
  <c r="L17" i="22" s="1"/>
  <c r="J16" i="22"/>
  <c r="J15" i="22"/>
  <c r="L15" i="22" s="1"/>
  <c r="J10" i="22"/>
  <c r="L10" i="22" s="1"/>
  <c r="J11" i="22"/>
  <c r="J12" i="22"/>
  <c r="L12" i="22" s="1"/>
  <c r="J13" i="22"/>
  <c r="L13" i="22" s="1"/>
  <c r="J14" i="22"/>
  <c r="L14" i="22" s="1"/>
  <c r="J9" i="22"/>
  <c r="L9" i="22" s="1"/>
  <c r="L46" i="4"/>
  <c r="L45" i="4" s="1"/>
  <c r="L44" i="4" s="1"/>
  <c r="L43" i="4" s="1"/>
  <c r="L42" i="4" s="1"/>
  <c r="L41" i="4" s="1"/>
  <c r="L40" i="4" s="1"/>
  <c r="L39" i="4" s="1"/>
  <c r="L38" i="4" s="1"/>
  <c r="L37" i="4" s="1"/>
  <c r="L36" i="4" s="1"/>
  <c r="L35" i="4" s="1"/>
  <c r="L34" i="4" s="1"/>
  <c r="L33" i="4" s="1"/>
  <c r="L32" i="4" s="1"/>
  <c r="L31" i="4" s="1"/>
  <c r="L30" i="4" s="1"/>
  <c r="L29" i="4" s="1"/>
  <c r="L28" i="4" s="1"/>
  <c r="L27" i="4" s="1"/>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D43" i="18"/>
  <c r="D44" i="18"/>
  <c r="D45" i="18"/>
  <c r="D46" i="18"/>
  <c r="D47" i="18"/>
  <c r="D42" i="18"/>
  <c r="D41" i="18"/>
  <c r="D28" i="18"/>
  <c r="D29" i="18"/>
  <c r="D30" i="18"/>
  <c r="D31" i="18"/>
  <c r="D32" i="18"/>
  <c r="D33" i="18"/>
  <c r="D34" i="18"/>
  <c r="D35" i="18"/>
  <c r="D36" i="18"/>
  <c r="D37" i="18"/>
  <c r="D38" i="18"/>
  <c r="D39" i="18"/>
  <c r="D40" i="18"/>
  <c r="D27" i="18"/>
  <c r="D13" i="18"/>
  <c r="D14" i="18"/>
  <c r="D24" i="18"/>
  <c r="D25" i="18"/>
  <c r="D26" i="18"/>
  <c r="D12" i="18"/>
  <c r="D11" i="3"/>
  <c r="D12" i="3"/>
  <c r="D10" i="3"/>
  <c r="I343" i="32"/>
  <c r="H343" i="32"/>
  <c r="G343" i="32"/>
  <c r="F343" i="32"/>
  <c r="E343" i="32"/>
  <c r="D343" i="32"/>
  <c r="I342" i="32"/>
  <c r="H342" i="32"/>
  <c r="G342" i="32"/>
  <c r="F342" i="32"/>
  <c r="E342" i="32"/>
  <c r="D342" i="32"/>
  <c r="I341" i="32"/>
  <c r="H341" i="32"/>
  <c r="G341" i="32"/>
  <c r="F341" i="32"/>
  <c r="E341" i="32"/>
  <c r="D341" i="32"/>
  <c r="D324" i="32"/>
  <c r="E323" i="32"/>
  <c r="D323" i="32"/>
  <c r="F322" i="32"/>
  <c r="E322" i="32"/>
  <c r="D322" i="32"/>
  <c r="G321" i="32"/>
  <c r="F321" i="32"/>
  <c r="E321" i="32"/>
  <c r="H320" i="32"/>
  <c r="G320" i="32"/>
  <c r="F320" i="32"/>
  <c r="I319" i="32"/>
  <c r="H319" i="32"/>
  <c r="G319" i="32"/>
  <c r="I318" i="32"/>
  <c r="H318" i="32"/>
  <c r="I317" i="32"/>
  <c r="I287" i="32"/>
  <c r="H287" i="32"/>
  <c r="G287" i="32"/>
  <c r="F287" i="32"/>
  <c r="E287" i="32"/>
  <c r="D287" i="32"/>
  <c r="D285" i="32"/>
  <c r="E284" i="32"/>
  <c r="D284" i="32"/>
  <c r="F283" i="32"/>
  <c r="E283" i="32"/>
  <c r="D283" i="32"/>
  <c r="G282" i="32"/>
  <c r="F282" i="32"/>
  <c r="E282" i="32"/>
  <c r="H281" i="32"/>
  <c r="G281" i="32"/>
  <c r="F281" i="32"/>
  <c r="I280" i="32"/>
  <c r="H280" i="32"/>
  <c r="G280" i="32"/>
  <c r="I279" i="32"/>
  <c r="H279" i="32"/>
  <c r="I278" i="32"/>
  <c r="J265" i="32"/>
  <c r="I266" i="32"/>
  <c r="I265" i="32"/>
  <c r="H267" i="32"/>
  <c r="H266" i="32"/>
  <c r="H265" i="32"/>
  <c r="G268" i="32"/>
  <c r="G267" i="32"/>
  <c r="G266" i="32"/>
  <c r="G265" i="32"/>
  <c r="F269" i="32"/>
  <c r="F268" i="32"/>
  <c r="F267" i="32"/>
  <c r="F266" i="32"/>
  <c r="E270" i="32"/>
  <c r="E269" i="32"/>
  <c r="E268" i="32"/>
  <c r="E267" i="32"/>
  <c r="D270" i="32"/>
  <c r="D269" i="32"/>
  <c r="D268" i="32"/>
  <c r="D271" i="32"/>
  <c r="D154" i="32"/>
  <c r="E153" i="32"/>
  <c r="D153" i="32"/>
  <c r="F152" i="32"/>
  <c r="E152" i="32"/>
  <c r="D152" i="32"/>
  <c r="G151" i="32"/>
  <c r="F151" i="32"/>
  <c r="E151" i="32"/>
  <c r="D151" i="32"/>
  <c r="H150" i="32"/>
  <c r="G150" i="32"/>
  <c r="F150" i="32"/>
  <c r="E150" i="32"/>
  <c r="I149" i="32"/>
  <c r="H149" i="32"/>
  <c r="G149" i="32"/>
  <c r="F149" i="32"/>
  <c r="J148" i="32"/>
  <c r="I148" i="32"/>
  <c r="H148" i="32"/>
  <c r="G148" i="32"/>
  <c r="J147" i="32"/>
  <c r="I147" i="32"/>
  <c r="H147" i="32"/>
  <c r="J146" i="32"/>
  <c r="I146" i="32"/>
  <c r="J145" i="32"/>
  <c r="J132" i="32"/>
  <c r="I133" i="32"/>
  <c r="I132" i="32"/>
  <c r="I131" i="32"/>
  <c r="I130" i="32"/>
  <c r="H134" i="32"/>
  <c r="H133" i="32"/>
  <c r="H132" i="32"/>
  <c r="H131" i="32"/>
  <c r="G135" i="32"/>
  <c r="G134" i="32"/>
  <c r="G133" i="32"/>
  <c r="F136" i="32"/>
  <c r="F135" i="32"/>
  <c r="F134" i="32"/>
  <c r="E137" i="32"/>
  <c r="E136" i="32"/>
  <c r="E135" i="32"/>
  <c r="D138" i="32"/>
  <c r="D137" i="32"/>
  <c r="D136" i="32"/>
  <c r="D135" i="32"/>
  <c r="J90" i="32"/>
  <c r="I91" i="32"/>
  <c r="I90" i="32"/>
  <c r="H92" i="32"/>
  <c r="H91" i="32"/>
  <c r="H90" i="32"/>
  <c r="G93" i="32"/>
  <c r="G92" i="32"/>
  <c r="G91" i="32"/>
  <c r="G90" i="32"/>
  <c r="F94" i="32"/>
  <c r="F93" i="32"/>
  <c r="F92" i="32"/>
  <c r="F91" i="32"/>
  <c r="E93" i="32"/>
  <c r="E94" i="32"/>
  <c r="E95" i="32"/>
  <c r="E92" i="32"/>
  <c r="D95" i="32"/>
  <c r="D94" i="32"/>
  <c r="D93" i="32"/>
  <c r="D96" i="32"/>
  <c r="J74" i="32"/>
  <c r="I75" i="32"/>
  <c r="I74" i="32"/>
  <c r="H76" i="32"/>
  <c r="H75" i="32"/>
  <c r="H74" i="32"/>
  <c r="G77" i="32"/>
  <c r="G76" i="32"/>
  <c r="G75" i="32"/>
  <c r="G74" i="32"/>
  <c r="F78" i="32"/>
  <c r="F77" i="32"/>
  <c r="F76" i="32"/>
  <c r="F75" i="32"/>
  <c r="E79" i="32"/>
  <c r="E78" i="32"/>
  <c r="E77" i="32"/>
  <c r="E76" i="32"/>
  <c r="D79" i="32"/>
  <c r="D78" i="32"/>
  <c r="D77" i="32"/>
  <c r="D80" i="32"/>
  <c r="J41" i="32"/>
  <c r="I41" i="32"/>
  <c r="H41" i="32"/>
  <c r="G41" i="32"/>
  <c r="F41" i="32"/>
  <c r="E41" i="32"/>
  <c r="D41" i="32"/>
  <c r="I36" i="32"/>
  <c r="I37" i="32" s="1"/>
  <c r="H36" i="32"/>
  <c r="G36" i="32"/>
  <c r="F36" i="32"/>
  <c r="E36" i="32"/>
  <c r="D36" i="32"/>
  <c r="I29" i="32"/>
  <c r="I28" i="32"/>
  <c r="I27" i="32"/>
  <c r="H30" i="32"/>
  <c r="H29" i="32"/>
  <c r="H28" i="32"/>
  <c r="G31" i="32"/>
  <c r="G30" i="32"/>
  <c r="G29" i="32"/>
  <c r="F32" i="32"/>
  <c r="F31" i="32"/>
  <c r="F30" i="32"/>
  <c r="E33" i="32"/>
  <c r="E32" i="32"/>
  <c r="E31" i="32"/>
  <c r="D33" i="32"/>
  <c r="D32" i="32"/>
  <c r="D34" i="32"/>
  <c r="Q27" i="17"/>
  <c r="P27" i="17" s="1"/>
  <c r="O27" i="17" s="1"/>
  <c r="N27" i="17" s="1"/>
  <c r="Q25" i="17"/>
  <c r="P25" i="17"/>
  <c r="O25" i="17"/>
  <c r="N25" i="17"/>
  <c r="M25" i="17"/>
  <c r="L25" i="17"/>
  <c r="K25" i="17"/>
  <c r="J25" i="17"/>
  <c r="I25" i="17"/>
  <c r="H25" i="17"/>
  <c r="G25" i="17"/>
  <c r="F25" i="17"/>
  <c r="E25" i="17"/>
  <c r="D25" i="17"/>
  <c r="C25" i="17"/>
  <c r="B25" i="17"/>
  <c r="C57" i="16"/>
  <c r="C54" i="16"/>
  <c r="C55" i="16"/>
  <c r="C56" i="16"/>
  <c r="C53" i="16"/>
  <c r="C52" i="16"/>
  <c r="B57" i="16"/>
  <c r="B54" i="16"/>
  <c r="B55" i="16"/>
  <c r="B56" i="16"/>
  <c r="B52" i="16"/>
  <c r="B53" i="16"/>
  <c r="A57" i="16"/>
  <c r="A56" i="16"/>
  <c r="A55" i="16"/>
  <c r="A54" i="16"/>
  <c r="A53" i="16"/>
  <c r="A52" i="16"/>
  <c r="V29" i="16"/>
  <c r="U29" i="16"/>
  <c r="T29" i="16"/>
  <c r="S29" i="16"/>
  <c r="R29" i="16"/>
  <c r="Q29" i="16"/>
  <c r="P29" i="16"/>
  <c r="O29" i="16"/>
  <c r="N29" i="16"/>
  <c r="M29" i="16"/>
  <c r="L29" i="16"/>
  <c r="K29" i="16"/>
  <c r="J29" i="16"/>
  <c r="I29" i="16"/>
  <c r="H29" i="16"/>
  <c r="K195" i="42"/>
  <c r="J195" i="42"/>
  <c r="I195" i="42"/>
  <c r="H195" i="42"/>
  <c r="G195" i="42"/>
  <c r="F195" i="42"/>
  <c r="E195" i="42"/>
  <c r="D195" i="42"/>
  <c r="C195" i="42"/>
  <c r="K196" i="42"/>
  <c r="J196" i="42"/>
  <c r="I196" i="42"/>
  <c r="H196" i="42"/>
  <c r="G196" i="42"/>
  <c r="F196" i="42"/>
  <c r="E196" i="42"/>
  <c r="D196" i="42"/>
  <c r="C196" i="42"/>
  <c r="K158" i="42"/>
  <c r="J158" i="42"/>
  <c r="I158" i="42"/>
  <c r="H158" i="42"/>
  <c r="G158" i="42"/>
  <c r="F158" i="42"/>
  <c r="E158" i="42"/>
  <c r="D158" i="42"/>
  <c r="C158" i="42"/>
  <c r="K157" i="42"/>
  <c r="J157" i="42"/>
  <c r="I157" i="42"/>
  <c r="H157" i="42"/>
  <c r="G157" i="42"/>
  <c r="F157" i="42"/>
  <c r="E157" i="42"/>
  <c r="D157" i="42"/>
  <c r="C157" i="42"/>
  <c r="K155" i="42"/>
  <c r="J155" i="42"/>
  <c r="I155" i="42"/>
  <c r="H155" i="42"/>
  <c r="G155" i="42"/>
  <c r="F155" i="42"/>
  <c r="E155" i="42"/>
  <c r="D155" i="42"/>
  <c r="C155" i="42"/>
  <c r="K154" i="42"/>
  <c r="J154" i="42"/>
  <c r="I154" i="42"/>
  <c r="H154" i="42"/>
  <c r="G154" i="42"/>
  <c r="F154" i="42"/>
  <c r="E154" i="42"/>
  <c r="D154" i="42"/>
  <c r="K153" i="42"/>
  <c r="J153" i="42"/>
  <c r="I153" i="42"/>
  <c r="H153" i="42"/>
  <c r="G153" i="42"/>
  <c r="F153" i="42"/>
  <c r="E153" i="42"/>
  <c r="K152" i="42"/>
  <c r="J152" i="42"/>
  <c r="I152" i="42"/>
  <c r="H152" i="42"/>
  <c r="G152" i="42"/>
  <c r="F152" i="42"/>
  <c r="K151" i="42"/>
  <c r="J151" i="42"/>
  <c r="I151" i="42"/>
  <c r="H151" i="42"/>
  <c r="G151" i="42"/>
  <c r="K150" i="42"/>
  <c r="J150" i="42"/>
  <c r="I150" i="42"/>
  <c r="H150" i="42"/>
  <c r="K149" i="42"/>
  <c r="J149" i="42"/>
  <c r="I149" i="42"/>
  <c r="K148" i="42"/>
  <c r="J148" i="42"/>
  <c r="K147" i="42"/>
  <c r="K138" i="42"/>
  <c r="J138" i="42"/>
  <c r="I138" i="42"/>
  <c r="H138" i="42"/>
  <c r="G138" i="42"/>
  <c r="F138" i="42"/>
  <c r="E138" i="42"/>
  <c r="D138" i="42"/>
  <c r="C138" i="42"/>
  <c r="K78" i="42"/>
  <c r="K80" i="42" s="1"/>
  <c r="J78" i="42"/>
  <c r="J80" i="42" s="1"/>
  <c r="I78" i="42"/>
  <c r="I80" i="42" s="1"/>
  <c r="H78" i="42"/>
  <c r="H80" i="42" s="1"/>
  <c r="G78" i="42"/>
  <c r="G80" i="42" s="1"/>
  <c r="F78" i="42"/>
  <c r="F80" i="42" s="1"/>
  <c r="E78" i="42"/>
  <c r="E80" i="42" s="1"/>
  <c r="D78" i="42"/>
  <c r="D80" i="42" s="1"/>
  <c r="C78" i="42"/>
  <c r="C80" i="42" s="1"/>
  <c r="L33" i="42"/>
  <c r="K34" i="42"/>
  <c r="K33" i="42"/>
  <c r="J35" i="42"/>
  <c r="J34" i="42"/>
  <c r="J33" i="42"/>
  <c r="I36" i="42"/>
  <c r="I35" i="42"/>
  <c r="I34" i="42"/>
  <c r="I33" i="42"/>
  <c r="H37" i="42"/>
  <c r="H36" i="42"/>
  <c r="H35" i="42"/>
  <c r="H34" i="42"/>
  <c r="G38" i="42"/>
  <c r="G37" i="42"/>
  <c r="G36" i="42"/>
  <c r="G35" i="42"/>
  <c r="F39" i="42"/>
  <c r="F38" i="42"/>
  <c r="F37" i="42"/>
  <c r="F36" i="42"/>
  <c r="E40" i="42"/>
  <c r="E39" i="42"/>
  <c r="E38" i="42"/>
  <c r="E37" i="42"/>
  <c r="D41" i="42"/>
  <c r="D40" i="42"/>
  <c r="D39" i="42"/>
  <c r="D38" i="42"/>
  <c r="C41" i="42"/>
  <c r="C40" i="42"/>
  <c r="C39" i="42"/>
  <c r="C42" i="42"/>
  <c r="L24" i="4" l="1"/>
  <c r="L26" i="4"/>
  <c r="L25" i="4"/>
  <c r="L23" i="4"/>
  <c r="L22" i="4" s="1"/>
  <c r="L21" i="4" s="1"/>
  <c r="L20" i="4" s="1"/>
  <c r="L19" i="4" s="1"/>
  <c r="L18" i="4" s="1"/>
  <c r="L17" i="4" s="1"/>
  <c r="L16" i="4" s="1"/>
  <c r="L15" i="4" s="1"/>
  <c r="L14" i="4" s="1"/>
  <c r="L13" i="4" s="1"/>
  <c r="L12" i="4" s="1"/>
  <c r="L11" i="4" s="1"/>
  <c r="L10" i="4" s="1"/>
  <c r="L9" i="4" s="1"/>
  <c r="E14" i="18"/>
  <c r="E13" i="18"/>
  <c r="E12" i="18"/>
  <c r="H37" i="32"/>
  <c r="G37" i="32" s="1"/>
  <c r="F37" i="32" s="1"/>
  <c r="E37" i="32" s="1"/>
  <c r="D37" i="32" s="1"/>
  <c r="I335" i="31" l="1"/>
  <c r="H335" i="31"/>
  <c r="G335" i="31"/>
  <c r="F335" i="31"/>
  <c r="E335" i="31"/>
  <c r="D335" i="31"/>
  <c r="I334" i="31"/>
  <c r="H334" i="31"/>
  <c r="G334" i="31"/>
  <c r="F334" i="31"/>
  <c r="E334" i="31"/>
  <c r="D334" i="31"/>
  <c r="I333" i="31"/>
  <c r="H333" i="31"/>
  <c r="G333" i="31"/>
  <c r="F333" i="31"/>
  <c r="E333" i="31"/>
  <c r="D333" i="31"/>
  <c r="I311" i="31"/>
  <c r="I310" i="31"/>
  <c r="I309" i="31"/>
  <c r="H312" i="31"/>
  <c r="H311" i="31"/>
  <c r="H310" i="31"/>
  <c r="G313" i="31"/>
  <c r="G312" i="31"/>
  <c r="F314" i="31"/>
  <c r="F313" i="31"/>
  <c r="F312" i="31"/>
  <c r="E315" i="31"/>
  <c r="E314" i="31"/>
  <c r="E313" i="31"/>
  <c r="D315" i="31"/>
  <c r="D316" i="31"/>
  <c r="D314" i="31"/>
  <c r="I276" i="31"/>
  <c r="H276" i="31"/>
  <c r="F276" i="31"/>
  <c r="E276" i="31"/>
  <c r="D276" i="31"/>
  <c r="I275" i="31"/>
  <c r="H275" i="31"/>
  <c r="G275" i="31"/>
  <c r="F275" i="31"/>
  <c r="E275" i="31"/>
  <c r="D275" i="31"/>
  <c r="I268" i="31"/>
  <c r="I267" i="31"/>
  <c r="I266" i="31"/>
  <c r="H269" i="31"/>
  <c r="H268" i="31"/>
  <c r="H267" i="31"/>
  <c r="G270" i="31"/>
  <c r="G269" i="31"/>
  <c r="F271" i="31"/>
  <c r="F270" i="31"/>
  <c r="F269" i="31"/>
  <c r="E272" i="31"/>
  <c r="E271" i="31"/>
  <c r="E270" i="31"/>
  <c r="D272" i="31"/>
  <c r="D271" i="31"/>
  <c r="D273" i="31"/>
  <c r="J252" i="31"/>
  <c r="J251" i="31"/>
  <c r="J250" i="31"/>
  <c r="J249" i="31"/>
  <c r="I253" i="31"/>
  <c r="I252" i="31"/>
  <c r="I251" i="31"/>
  <c r="I250" i="31"/>
  <c r="H254" i="31"/>
  <c r="H253" i="31"/>
  <c r="H252" i="31"/>
  <c r="H251" i="31"/>
  <c r="G255" i="31"/>
  <c r="G254" i="31"/>
  <c r="G253" i="31"/>
  <c r="F256" i="31"/>
  <c r="F255" i="31"/>
  <c r="F254" i="31"/>
  <c r="F253" i="31"/>
  <c r="E257" i="31"/>
  <c r="E256" i="31"/>
  <c r="E255" i="31"/>
  <c r="E254" i="31"/>
  <c r="D257" i="31"/>
  <c r="D256" i="31"/>
  <c r="D255" i="31"/>
  <c r="D258" i="31"/>
  <c r="J225" i="31"/>
  <c r="J224" i="31"/>
  <c r="J223" i="31"/>
  <c r="J222" i="31"/>
  <c r="I226" i="31"/>
  <c r="I225" i="31"/>
  <c r="I224" i="31"/>
  <c r="I223" i="31"/>
  <c r="H227" i="31"/>
  <c r="H226" i="31"/>
  <c r="H225" i="31"/>
  <c r="H224" i="31"/>
  <c r="G228" i="31"/>
  <c r="G227" i="31"/>
  <c r="G226" i="31"/>
  <c r="G225" i="31"/>
  <c r="F229" i="31"/>
  <c r="F228" i="31"/>
  <c r="F227" i="31"/>
  <c r="F226" i="31"/>
  <c r="E230" i="31"/>
  <c r="E229" i="31"/>
  <c r="E228" i="31"/>
  <c r="E227" i="31"/>
  <c r="D230" i="31"/>
  <c r="D229" i="31"/>
  <c r="D228" i="31"/>
  <c r="D231" i="31"/>
  <c r="J150" i="31"/>
  <c r="J149" i="31"/>
  <c r="J148" i="31"/>
  <c r="J147" i="31"/>
  <c r="I151" i="31"/>
  <c r="I150" i="31"/>
  <c r="I149" i="31"/>
  <c r="I148" i="31"/>
  <c r="H152" i="31"/>
  <c r="H151" i="31"/>
  <c r="H150" i="31"/>
  <c r="H149" i="31"/>
  <c r="G153" i="31"/>
  <c r="G152" i="31"/>
  <c r="G151" i="31"/>
  <c r="G150" i="31"/>
  <c r="G252" i="31" s="1"/>
  <c r="G268" i="31" s="1"/>
  <c r="G276" i="31" s="1"/>
  <c r="F154" i="31"/>
  <c r="F153" i="31"/>
  <c r="F152" i="31"/>
  <c r="F151" i="31"/>
  <c r="E155" i="31"/>
  <c r="E154" i="31"/>
  <c r="E153" i="31"/>
  <c r="E152" i="31"/>
  <c r="D155" i="31"/>
  <c r="D154" i="31"/>
  <c r="D153" i="31"/>
  <c r="D156" i="31"/>
  <c r="I132" i="31"/>
  <c r="I133" i="31"/>
  <c r="I134" i="31"/>
  <c r="H133" i="31"/>
  <c r="H134" i="31"/>
  <c r="H135" i="31"/>
  <c r="G135" i="31"/>
  <c r="G136" i="31"/>
  <c r="F136" i="31"/>
  <c r="F137" i="31"/>
  <c r="E137" i="31"/>
  <c r="E138" i="31"/>
  <c r="J134" i="31"/>
  <c r="I135" i="31"/>
  <c r="H136" i="31"/>
  <c r="G137" i="31"/>
  <c r="F138" i="31"/>
  <c r="E139" i="31"/>
  <c r="D138" i="31"/>
  <c r="D139" i="31"/>
  <c r="D137" i="31"/>
  <c r="D140" i="31"/>
  <c r="J91" i="31"/>
  <c r="I91" i="31"/>
  <c r="I92" i="31"/>
  <c r="H92" i="31"/>
  <c r="H91" i="31"/>
  <c r="H93" i="31"/>
  <c r="G94" i="31"/>
  <c r="G93" i="31"/>
  <c r="G92" i="31"/>
  <c r="G91" i="31"/>
  <c r="F95" i="31"/>
  <c r="F94" i="31"/>
  <c r="F93" i="31"/>
  <c r="F92" i="31"/>
  <c r="E96" i="31"/>
  <c r="E94" i="31"/>
  <c r="E95" i="31"/>
  <c r="E93" i="31"/>
  <c r="D96" i="31"/>
  <c r="D95" i="31"/>
  <c r="D94" i="31"/>
  <c r="D97" i="31"/>
  <c r="J75" i="31"/>
  <c r="I76" i="31"/>
  <c r="I75" i="31"/>
  <c r="H77" i="31"/>
  <c r="H76" i="31"/>
  <c r="H75" i="31"/>
  <c r="G78" i="31"/>
  <c r="G77" i="31"/>
  <c r="G76" i="31"/>
  <c r="G75" i="31"/>
  <c r="F79" i="31"/>
  <c r="F78" i="31"/>
  <c r="F77" i="31"/>
  <c r="F76" i="31"/>
  <c r="E80" i="31"/>
  <c r="E79" i="31"/>
  <c r="E78" i="31"/>
  <c r="E77" i="31"/>
  <c r="D78" i="31"/>
  <c r="D79" i="31"/>
  <c r="D80" i="31"/>
  <c r="D81" i="31"/>
  <c r="J42" i="31"/>
  <c r="I42" i="31"/>
  <c r="H42" i="31"/>
  <c r="G42" i="31"/>
  <c r="F42" i="31"/>
  <c r="E42" i="31"/>
  <c r="D42" i="31"/>
  <c r="I38" i="31"/>
  <c r="H38" i="31" s="1"/>
  <c r="G38" i="31" s="1"/>
  <c r="F38" i="31" s="1"/>
  <c r="E38" i="31" s="1"/>
  <c r="D38" i="31" s="1"/>
  <c r="I37" i="31"/>
  <c r="H37" i="31"/>
  <c r="G37" i="31"/>
  <c r="F37" i="31"/>
  <c r="E37" i="31"/>
  <c r="D37" i="31"/>
  <c r="I30" i="31"/>
  <c r="I29" i="31"/>
  <c r="I28" i="31"/>
  <c r="H31" i="31"/>
  <c r="H30" i="31"/>
  <c r="H29" i="31"/>
  <c r="G32" i="31"/>
  <c r="G31" i="31"/>
  <c r="G30" i="31"/>
  <c r="F33" i="31"/>
  <c r="F32" i="31"/>
  <c r="F31" i="31"/>
  <c r="E34" i="31"/>
  <c r="E33" i="31"/>
  <c r="E32" i="31"/>
  <c r="D35" i="31"/>
  <c r="D34" i="31"/>
  <c r="D33" i="31"/>
  <c r="Q27" i="14"/>
  <c r="P27" i="14" s="1"/>
  <c r="C25" i="14"/>
  <c r="C26" i="14" s="1"/>
  <c r="D23" i="3" s="1"/>
  <c r="D25" i="14"/>
  <c r="D26" i="14" s="1"/>
  <c r="D22" i="3" s="1"/>
  <c r="E25" i="14"/>
  <c r="F25" i="14"/>
  <c r="G25" i="14"/>
  <c r="H25" i="14"/>
  <c r="I25" i="14"/>
  <c r="J25" i="14"/>
  <c r="K25" i="14"/>
  <c r="L25" i="14"/>
  <c r="M25" i="14"/>
  <c r="N25" i="14"/>
  <c r="O25" i="14"/>
  <c r="P25" i="14"/>
  <c r="Q25" i="14"/>
  <c r="B25" i="14"/>
  <c r="B26" i="14" s="1"/>
  <c r="D24" i="3" s="1"/>
  <c r="K32" i="13"/>
  <c r="D36" i="3" s="1"/>
  <c r="L32" i="13"/>
  <c r="D35" i="3" s="1"/>
  <c r="M32" i="13"/>
  <c r="D34" i="3" s="1"/>
  <c r="N32" i="13"/>
  <c r="D33" i="3" s="1"/>
  <c r="O32" i="13"/>
  <c r="D32" i="3" s="1"/>
  <c r="P32" i="13"/>
  <c r="D31" i="3" s="1"/>
  <c r="Q32" i="13"/>
  <c r="D30" i="3" s="1"/>
  <c r="R32" i="13"/>
  <c r="D29" i="3" s="1"/>
  <c r="S32" i="13"/>
  <c r="D28" i="3" s="1"/>
  <c r="T32" i="13"/>
  <c r="D27" i="3" s="1"/>
  <c r="U32" i="13"/>
  <c r="D26" i="3" s="1"/>
  <c r="V32" i="13"/>
  <c r="D25" i="3" s="1"/>
  <c r="J32" i="13"/>
  <c r="D37" i="3" s="1"/>
  <c r="I32" i="13"/>
  <c r="D38" i="3" s="1"/>
  <c r="H32" i="13"/>
  <c r="D39" i="3" s="1"/>
  <c r="K52" i="12"/>
  <c r="L52" i="12"/>
  <c r="M52" i="12"/>
  <c r="N52" i="12"/>
  <c r="O52" i="12"/>
  <c r="P52" i="12"/>
  <c r="Q52" i="12"/>
  <c r="J52" i="12"/>
  <c r="C55" i="15"/>
  <c r="D55" i="15"/>
  <c r="E55" i="15"/>
  <c r="F55" i="15"/>
  <c r="G55" i="15"/>
  <c r="H55" i="15"/>
  <c r="I55" i="15"/>
  <c r="J55" i="15"/>
  <c r="C187" i="42" s="1"/>
  <c r="K55" i="15"/>
  <c r="D187" i="42" s="1"/>
  <c r="L55" i="15"/>
  <c r="E187" i="42" s="1"/>
  <c r="M55" i="15"/>
  <c r="F187" i="42" s="1"/>
  <c r="N55" i="15"/>
  <c r="G187" i="42" s="1"/>
  <c r="O55" i="15"/>
  <c r="H187" i="42" s="1"/>
  <c r="P55" i="15"/>
  <c r="I187" i="42" s="1"/>
  <c r="Q55" i="15"/>
  <c r="J187" i="42" s="1"/>
  <c r="R55" i="15"/>
  <c r="K187" i="42" s="1"/>
  <c r="S55" i="15"/>
  <c r="T55" i="15"/>
  <c r="U55" i="15"/>
  <c r="V55" i="15"/>
  <c r="V56" i="15" s="1"/>
  <c r="B55" i="15"/>
  <c r="C74" i="12"/>
  <c r="C73" i="12"/>
  <c r="C72" i="12"/>
  <c r="C71" i="12"/>
  <c r="C70" i="12"/>
  <c r="A70" i="12"/>
  <c r="A71" i="12" s="1"/>
  <c r="A72" i="12" s="1"/>
  <c r="A73" i="12" s="1"/>
  <c r="A74" i="12" s="1"/>
  <c r="C69" i="12"/>
  <c r="C52" i="12"/>
  <c r="D52" i="12"/>
  <c r="E52" i="12"/>
  <c r="F52" i="12"/>
  <c r="G52" i="12"/>
  <c r="H52" i="12"/>
  <c r="I52" i="12"/>
  <c r="B52" i="12"/>
  <c r="C30" i="21"/>
  <c r="D30" i="21"/>
  <c r="E30" i="21"/>
  <c r="F30" i="21"/>
  <c r="G30" i="21"/>
  <c r="H30" i="21"/>
  <c r="I30" i="21"/>
  <c r="J30" i="21"/>
  <c r="C186" i="42" s="1"/>
  <c r="K30" i="21"/>
  <c r="D186" i="42" s="1"/>
  <c r="L30" i="21"/>
  <c r="E186" i="42" s="1"/>
  <c r="M30" i="21"/>
  <c r="F186" i="42" s="1"/>
  <c r="N30" i="21"/>
  <c r="G186" i="42" s="1"/>
  <c r="O30" i="21"/>
  <c r="H186" i="42" s="1"/>
  <c r="P30" i="21"/>
  <c r="I186" i="42" s="1"/>
  <c r="Q30" i="21"/>
  <c r="J186" i="42" s="1"/>
  <c r="R30" i="21"/>
  <c r="K186" i="42" s="1"/>
  <c r="S30" i="21"/>
  <c r="T30" i="21"/>
  <c r="U30" i="21"/>
  <c r="V30" i="21"/>
  <c r="V31" i="21" s="1"/>
  <c r="B30" i="21"/>
  <c r="K31" i="11"/>
  <c r="L31" i="11"/>
  <c r="M31" i="11"/>
  <c r="N31" i="11"/>
  <c r="O31" i="11"/>
  <c r="P31" i="11"/>
  <c r="Q31" i="11"/>
  <c r="J31" i="11"/>
  <c r="C31" i="11"/>
  <c r="D31" i="11"/>
  <c r="E31" i="11"/>
  <c r="F31" i="11"/>
  <c r="G31" i="11"/>
  <c r="H31" i="11"/>
  <c r="I31" i="11"/>
  <c r="B31" i="11"/>
  <c r="V31" i="20"/>
  <c r="U31" i="20" s="1"/>
  <c r="T31" i="20" s="1"/>
  <c r="S31" i="20" s="1"/>
  <c r="R31" i="20" s="1"/>
  <c r="Q31" i="20" s="1"/>
  <c r="P31" i="20" s="1"/>
  <c r="O31" i="20" s="1"/>
  <c r="N31" i="20" s="1"/>
  <c r="M31" i="20" s="1"/>
  <c r="L31" i="20" s="1"/>
  <c r="K31" i="20" s="1"/>
  <c r="J31" i="20" s="1"/>
  <c r="I31" i="20" s="1"/>
  <c r="H31" i="20" s="1"/>
  <c r="G31" i="20" s="1"/>
  <c r="F31" i="20" s="1"/>
  <c r="E31" i="20" s="1"/>
  <c r="D31" i="20" s="1"/>
  <c r="C31" i="20" s="1"/>
  <c r="B31" i="20" s="1"/>
  <c r="V30" i="20"/>
  <c r="U30" i="20"/>
  <c r="T30" i="20"/>
  <c r="S30" i="20"/>
  <c r="R30" i="20"/>
  <c r="Q30" i="20"/>
  <c r="P30" i="20"/>
  <c r="O30" i="20"/>
  <c r="N30" i="20"/>
  <c r="M30" i="20"/>
  <c r="L30" i="20"/>
  <c r="K30" i="20"/>
  <c r="J30" i="20"/>
  <c r="I30" i="20"/>
  <c r="H30" i="20"/>
  <c r="G30" i="20"/>
  <c r="F30" i="20"/>
  <c r="E30" i="20"/>
  <c r="D30" i="20"/>
  <c r="C30" i="20"/>
  <c r="B30" i="20"/>
  <c r="Q31" i="10"/>
  <c r="P31" i="10"/>
  <c r="O31" i="10"/>
  <c r="N31" i="10"/>
  <c r="M31" i="10"/>
  <c r="L31" i="10"/>
  <c r="K31" i="10"/>
  <c r="J31" i="10"/>
  <c r="I31" i="10"/>
  <c r="H31" i="10"/>
  <c r="G31" i="10"/>
  <c r="F31" i="10"/>
  <c r="E31" i="10"/>
  <c r="D31" i="10"/>
  <c r="C31" i="10"/>
  <c r="B31" i="10"/>
  <c r="O33" i="2"/>
  <c r="N33" i="2" s="1"/>
  <c r="M33" i="2" s="1"/>
  <c r="L33" i="2" s="1"/>
  <c r="K33" i="2" s="1"/>
  <c r="J33" i="2" s="1"/>
  <c r="I33" i="2" s="1"/>
  <c r="H33" i="2" s="1"/>
  <c r="G33" i="2" s="1"/>
  <c r="F33" i="2" s="1"/>
  <c r="E33" i="2" s="1"/>
  <c r="D33" i="2" s="1"/>
  <c r="C33" i="2" s="1"/>
  <c r="B33" i="2" s="1"/>
  <c r="B32" i="2"/>
  <c r="C32" i="2"/>
  <c r="D32" i="2"/>
  <c r="E32" i="2"/>
  <c r="F32" i="2"/>
  <c r="G32" i="2"/>
  <c r="H32" i="2"/>
  <c r="I32" i="2"/>
  <c r="J32" i="2"/>
  <c r="K211" i="42" l="1"/>
  <c r="M26" i="17" s="1"/>
  <c r="K210" i="42"/>
  <c r="J210" i="42"/>
  <c r="J211" i="42"/>
  <c r="L26" i="17" s="1"/>
  <c r="I211" i="42"/>
  <c r="K26" i="17" s="1"/>
  <c r="I210" i="42"/>
  <c r="H210" i="42"/>
  <c r="H211" i="42"/>
  <c r="J26" i="17" s="1"/>
  <c r="G210" i="42"/>
  <c r="G211" i="42"/>
  <c r="I26" i="17" s="1"/>
  <c r="F210" i="42"/>
  <c r="F211" i="42"/>
  <c r="H26" i="17" s="1"/>
  <c r="E211" i="42"/>
  <c r="G26" i="17" s="1"/>
  <c r="E210" i="42"/>
  <c r="D210" i="42"/>
  <c r="D211" i="42"/>
  <c r="F26" i="17" s="1"/>
  <c r="C210" i="42"/>
  <c r="C211" i="42"/>
  <c r="E26" i="17" s="1"/>
  <c r="K205" i="42"/>
  <c r="K206" i="42"/>
  <c r="M26" i="14" s="1"/>
  <c r="D13" i="3" s="1"/>
  <c r="J206" i="42"/>
  <c r="L26" i="14" s="1"/>
  <c r="D14" i="3" s="1"/>
  <c r="J205" i="42"/>
  <c r="I206" i="42"/>
  <c r="K26" i="14" s="1"/>
  <c r="D15" i="3" s="1"/>
  <c r="I205" i="42"/>
  <c r="H206" i="42"/>
  <c r="J26" i="14" s="1"/>
  <c r="D16" i="3" s="1"/>
  <c r="H205" i="42"/>
  <c r="G206" i="42"/>
  <c r="I26" i="14" s="1"/>
  <c r="D17" i="3" s="1"/>
  <c r="G205" i="42"/>
  <c r="F206" i="42"/>
  <c r="H26" i="14" s="1"/>
  <c r="D18" i="3" s="1"/>
  <c r="F205" i="42"/>
  <c r="E205" i="42"/>
  <c r="E206" i="42"/>
  <c r="G26" i="14" s="1"/>
  <c r="D19" i="3" s="1"/>
  <c r="D206" i="42"/>
  <c r="F26" i="14" s="1"/>
  <c r="D20" i="3" s="1"/>
  <c r="D205" i="42"/>
  <c r="C205" i="42"/>
  <c r="C206" i="42"/>
  <c r="E26" i="14" s="1"/>
  <c r="D21" i="3" s="1"/>
  <c r="O27" i="14"/>
  <c r="E11" i="3" s="1"/>
  <c r="E10" i="3"/>
  <c r="N27" i="14"/>
  <c r="E12" i="3" s="1"/>
  <c r="U56" i="15"/>
  <c r="T56" i="15" s="1"/>
  <c r="S56" i="15" s="1"/>
  <c r="R56" i="15" s="1"/>
  <c r="Q56" i="15" s="1"/>
  <c r="P56" i="15" s="1"/>
  <c r="O56" i="15" s="1"/>
  <c r="N56" i="15" s="1"/>
  <c r="M56" i="15" s="1"/>
  <c r="L56" i="15" s="1"/>
  <c r="K56" i="15" s="1"/>
  <c r="J56" i="15" s="1"/>
  <c r="I56" i="15" s="1"/>
  <c r="H56" i="15" s="1"/>
  <c r="G56" i="15" s="1"/>
  <c r="F56" i="15" s="1"/>
  <c r="E56" i="15" s="1"/>
  <c r="D56" i="15" s="1"/>
  <c r="C56" i="15" s="1"/>
  <c r="B56" i="15" s="1"/>
  <c r="Q55" i="12" s="1"/>
  <c r="P55" i="12" s="1"/>
  <c r="O55" i="12" s="1"/>
  <c r="N55" i="12" s="1"/>
  <c r="M55" i="12" s="1"/>
  <c r="L55" i="12" s="1"/>
  <c r="K55" i="12" s="1"/>
  <c r="J55" i="12" s="1"/>
  <c r="I55" i="12" s="1"/>
  <c r="H55" i="12" s="1"/>
  <c r="G55" i="12" s="1"/>
  <c r="F55" i="12" s="1"/>
  <c r="E58" i="12" s="1"/>
  <c r="U31" i="21"/>
  <c r="T31" i="21" s="1"/>
  <c r="S31" i="21" s="1"/>
  <c r="R31" i="21" s="1"/>
  <c r="Q31" i="21" s="1"/>
  <c r="P31" i="21" s="1"/>
  <c r="O31" i="21" s="1"/>
  <c r="N31" i="21" s="1"/>
  <c r="M31" i="21" s="1"/>
  <c r="L31" i="21" s="1"/>
  <c r="K31" i="21" s="1"/>
  <c r="J31" i="21" s="1"/>
  <c r="I31" i="21" s="1"/>
  <c r="H31" i="21" s="1"/>
  <c r="G31" i="21" s="1"/>
  <c r="F31" i="21" s="1"/>
  <c r="E31" i="21" s="1"/>
  <c r="D31" i="21" s="1"/>
  <c r="C31" i="21" s="1"/>
  <c r="B31" i="21" s="1"/>
  <c r="Q32" i="11" s="1"/>
  <c r="P32" i="11" s="1"/>
  <c r="O32" i="11" s="1"/>
  <c r="N32" i="11" s="1"/>
  <c r="M32" i="11" s="1"/>
  <c r="L32" i="11" s="1"/>
  <c r="K32" i="11" s="1"/>
  <c r="J32" i="11" s="1"/>
  <c r="I32" i="11" s="1"/>
  <c r="H32" i="11" s="1"/>
  <c r="G32" i="11" s="1"/>
  <c r="F32" i="11" s="1"/>
  <c r="E32" i="11" s="1"/>
  <c r="D32" i="11" s="1"/>
  <c r="C32" i="11" s="1"/>
  <c r="B32" i="11" s="1"/>
  <c r="Q32" i="10"/>
  <c r="P32" i="10" s="1"/>
  <c r="O32" i="10" s="1"/>
  <c r="N32" i="10" s="1"/>
  <c r="M32" i="10" s="1"/>
  <c r="L32" i="10" s="1"/>
  <c r="K32" i="10" s="1"/>
  <c r="J32" i="10" s="1"/>
  <c r="I32" i="10" s="1"/>
  <c r="H32" i="10" s="1"/>
  <c r="G32" i="10" s="1"/>
  <c r="F32" i="10" s="1"/>
  <c r="E32" i="10" s="1"/>
  <c r="D32" i="10" s="1"/>
  <c r="C32" i="10" s="1"/>
  <c r="B32" i="10" s="1"/>
  <c r="D15" i="18" l="1"/>
  <c r="M27" i="17"/>
  <c r="E15" i="18" s="1"/>
  <c r="D16" i="18"/>
  <c r="D17" i="18"/>
  <c r="D18" i="18"/>
  <c r="D19" i="18"/>
  <c r="D20" i="18"/>
  <c r="D21" i="18"/>
  <c r="D22" i="18"/>
  <c r="D23" i="18"/>
  <c r="M27" i="14"/>
  <c r="E13" i="3" s="1"/>
  <c r="F58" i="12"/>
  <c r="G58" i="12"/>
  <c r="E55" i="12"/>
  <c r="D58" i="12" s="1"/>
  <c r="L27" i="17" l="1"/>
  <c r="E16" i="18" s="1"/>
  <c r="K27" i="17"/>
  <c r="L27" i="14"/>
  <c r="E14" i="3" s="1"/>
  <c r="D55" i="12"/>
  <c r="C58" i="12" s="1"/>
  <c r="E17" i="18" l="1"/>
  <c r="J27" i="17"/>
  <c r="K27" i="14"/>
  <c r="E15" i="3" s="1"/>
  <c r="C55" i="12"/>
  <c r="E18" i="18" l="1"/>
  <c r="I27" i="17"/>
  <c r="J27" i="14"/>
  <c r="E16" i="3" s="1"/>
  <c r="B55" i="12"/>
  <c r="B58" i="12"/>
  <c r="E19" i="18" l="1"/>
  <c r="H27" i="17"/>
  <c r="I27" i="14"/>
  <c r="E17" i="3" s="1"/>
  <c r="E20" i="18" l="1"/>
  <c r="G27" i="17"/>
  <c r="H27" i="14"/>
  <c r="E18" i="3" s="1"/>
  <c r="F27" i="17" l="1"/>
  <c r="E21" i="18"/>
  <c r="G27" i="14"/>
  <c r="E19" i="3" s="1"/>
  <c r="E22" i="18" l="1"/>
  <c r="E27" i="17"/>
  <c r="F27" i="14"/>
  <c r="E20" i="3" s="1"/>
  <c r="D27" i="17" l="1"/>
  <c r="E23" i="18"/>
  <c r="E27" i="14"/>
  <c r="E21" i="3" s="1"/>
  <c r="E24" i="18" l="1"/>
  <c r="C27" i="17"/>
  <c r="D27" i="14"/>
  <c r="E22" i="3" s="1"/>
  <c r="E25" i="18" l="1"/>
  <c r="B27" i="17"/>
  <c r="C27" i="14"/>
  <c r="E23" i="3" s="1"/>
  <c r="E26" i="18" l="1"/>
  <c r="V32" i="16"/>
  <c r="E27" i="18" s="1"/>
  <c r="B27" i="14"/>
  <c r="E24" i="3" s="1"/>
  <c r="V33" i="13" l="1"/>
  <c r="E25" i="3" l="1"/>
  <c r="U33" i="13"/>
  <c r="T33" i="13" l="1"/>
  <c r="E26" i="3"/>
  <c r="S33" i="13" l="1"/>
  <c r="E27" i="3"/>
  <c r="R33" i="13" l="1"/>
  <c r="E28" i="3"/>
  <c r="Q33" i="13" l="1"/>
  <c r="E29" i="3"/>
  <c r="P33" i="13" l="1"/>
  <c r="E30" i="3"/>
  <c r="O33" i="13" l="1"/>
  <c r="E31" i="3"/>
  <c r="N33" i="13" l="1"/>
  <c r="E32" i="3"/>
  <c r="M33" i="13" l="1"/>
  <c r="E33" i="3"/>
  <c r="L33" i="13" l="1"/>
  <c r="E34" i="3"/>
  <c r="K33" i="13" l="1"/>
  <c r="E35" i="3"/>
  <c r="J33" i="13" l="1"/>
  <c r="E36" i="3"/>
  <c r="I33" i="13" l="1"/>
  <c r="E37" i="3"/>
  <c r="H33" i="13" l="1"/>
  <c r="E39" i="3" s="1"/>
  <c r="E38" i="3"/>
  <c r="K32" i="2" l="1"/>
  <c r="L32" i="2"/>
  <c r="M32" i="2"/>
  <c r="N32" i="2"/>
  <c r="O32" i="2"/>
  <c r="P32" i="2"/>
  <c r="P33" i="2" s="1"/>
  <c r="Q32" i="2"/>
  <c r="Q33" i="2" s="1"/>
  <c r="B30" i="19"/>
  <c r="C30" i="19"/>
  <c r="D30" i="19"/>
  <c r="E30" i="19"/>
  <c r="F30" i="19"/>
  <c r="G30" i="19"/>
  <c r="H30" i="19"/>
  <c r="I30" i="19"/>
  <c r="J30" i="19"/>
  <c r="K30" i="19"/>
  <c r="L30" i="19"/>
  <c r="M30" i="19"/>
  <c r="N30" i="19"/>
  <c r="O30" i="19"/>
  <c r="P30" i="19"/>
  <c r="Q30" i="19"/>
  <c r="R30" i="19"/>
  <c r="S30" i="19"/>
  <c r="T30" i="19"/>
  <c r="U30" i="19"/>
  <c r="V30" i="19"/>
  <c r="V31" i="19" s="1"/>
  <c r="U31" i="19" l="1"/>
  <c r="T31" i="19" s="1"/>
  <c r="S31" i="19" s="1"/>
  <c r="R31" i="19" s="1"/>
  <c r="Q31" i="19" s="1"/>
  <c r="P31" i="19" s="1"/>
  <c r="O31" i="19" s="1"/>
  <c r="N31" i="19" s="1"/>
  <c r="M31" i="19" s="1"/>
  <c r="L31" i="19" s="1"/>
  <c r="K31" i="19" s="1"/>
  <c r="J31" i="19" s="1"/>
  <c r="I31" i="19" s="1"/>
  <c r="H31" i="19" s="1"/>
  <c r="G31" i="19" s="1"/>
  <c r="F31" i="19" s="1"/>
  <c r="E31" i="19" s="1"/>
  <c r="D31" i="19" s="1"/>
  <c r="C31" i="19" s="1"/>
  <c r="B31" i="19" s="1"/>
  <c r="A33" i="28" l="1"/>
  <c r="O12" i="25"/>
  <c r="O13" i="25"/>
  <c r="O14" i="25"/>
  <c r="O15" i="25"/>
  <c r="O16" i="25"/>
  <c r="O17" i="25"/>
  <c r="O18" i="25"/>
  <c r="O19" i="25"/>
  <c r="O20" i="25"/>
  <c r="O21" i="25"/>
  <c r="O22" i="25"/>
  <c r="O23" i="25"/>
  <c r="O24" i="25"/>
  <c r="O25" i="25"/>
  <c r="O26" i="25"/>
  <c r="O27" i="25"/>
  <c r="O28" i="25"/>
  <c r="O29" i="25"/>
  <c r="O30" i="25"/>
  <c r="O31" i="25"/>
  <c r="O32" i="25"/>
  <c r="O33" i="25"/>
  <c r="O34" i="25"/>
  <c r="O35" i="25"/>
  <c r="O36" i="25"/>
  <c r="O37" i="25"/>
  <c r="O38" i="25"/>
  <c r="O39" i="25"/>
  <c r="O40" i="25"/>
  <c r="O41" i="25"/>
  <c r="O42" i="25"/>
  <c r="O43" i="25"/>
  <c r="O44" i="25"/>
  <c r="O45" i="25"/>
  <c r="O11" i="25"/>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10" i="3"/>
  <c r="N149" i="36" l="1"/>
  <c r="N150" i="36"/>
  <c r="N151" i="36"/>
  <c r="N152" i="36"/>
  <c r="O149" i="36"/>
  <c r="O150" i="36"/>
  <c r="O151" i="36"/>
  <c r="O152" i="36" s="1"/>
  <c r="N147" i="35"/>
  <c r="N148" i="35"/>
  <c r="N149" i="35"/>
  <c r="N150" i="35"/>
  <c r="N151" i="35"/>
  <c r="N152" i="35"/>
  <c r="O151" i="35"/>
  <c r="O152" i="35" s="1"/>
  <c r="O147" i="35"/>
  <c r="O148" i="35" s="1"/>
  <c r="O149" i="35" s="1"/>
  <c r="O150" i="35" s="1"/>
  <c r="B18" i="8"/>
  <c r="O16" i="8"/>
  <c r="B10" i="27" l="1"/>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I46" i="26" l="1"/>
  <c r="B41" i="26"/>
  <c r="B42" i="26"/>
  <c r="O135" i="36" l="1"/>
  <c r="O133" i="36"/>
  <c r="N133" i="36" s="1"/>
  <c r="O134" i="36"/>
  <c r="O131" i="36"/>
  <c r="N135" i="36" l="1"/>
  <c r="N134" i="36"/>
  <c r="O136" i="36"/>
  <c r="N131" i="36"/>
  <c r="O132" i="36"/>
  <c r="N136" i="36" l="1"/>
  <c r="O137" i="36"/>
  <c r="N132" i="36"/>
  <c r="O138" i="36" l="1"/>
  <c r="N137" i="36"/>
  <c r="A40" i="13"/>
  <c r="A47" i="16"/>
  <c r="N138" i="36" l="1"/>
  <c r="N95" i="36" l="1"/>
  <c r="N96" i="36"/>
  <c r="N97" i="36"/>
  <c r="O11" i="8" l="1"/>
  <c r="M49" i="29" l="1"/>
  <c r="K49" i="29"/>
  <c r="M49" i="7"/>
  <c r="K49" i="7"/>
  <c r="L49" i="29" l="1"/>
  <c r="A49" i="7"/>
  <c r="A50" i="5"/>
  <c r="G8" i="5" s="1"/>
  <c r="B154" i="42" l="1"/>
  <c r="B132" i="42"/>
  <c r="B75" i="42"/>
  <c r="C24" i="42"/>
  <c r="B42" i="42"/>
  <c r="A173" i="42" l="1"/>
  <c r="A172" i="42"/>
  <c r="A171" i="42"/>
  <c r="B155" i="42" l="1"/>
  <c r="A115" i="42" l="1"/>
  <c r="A114" i="42"/>
  <c r="A113" i="42"/>
  <c r="B133" i="42"/>
  <c r="B131" i="42"/>
  <c r="B96" i="42"/>
  <c r="B76" i="42"/>
  <c r="A58" i="42"/>
  <c r="A57" i="42"/>
  <c r="A56" i="42"/>
  <c r="B95" i="42" l="1"/>
  <c r="D24" i="42"/>
  <c r="B130" i="42"/>
  <c r="B153" i="42"/>
  <c r="B74" i="42"/>
  <c r="B41" i="42"/>
  <c r="B94" i="42" l="1"/>
  <c r="E24" i="42"/>
  <c r="B129" i="42"/>
  <c r="B152" i="42"/>
  <c r="B73" i="42"/>
  <c r="B40" i="42"/>
  <c r="B93" i="42" l="1"/>
  <c r="F24" i="42"/>
  <c r="B151" i="42"/>
  <c r="B128" i="42"/>
  <c r="B72" i="42"/>
  <c r="B39" i="42"/>
  <c r="B92" i="42" l="1"/>
  <c r="G24" i="42"/>
  <c r="B150" i="42"/>
  <c r="B127" i="42"/>
  <c r="B71" i="42"/>
  <c r="B38" i="42"/>
  <c r="B91" i="42" l="1"/>
  <c r="H24" i="42"/>
  <c r="B126" i="42"/>
  <c r="B149" i="42"/>
  <c r="B70" i="42"/>
  <c r="B37" i="42"/>
  <c r="A1" i="16"/>
  <c r="A1" i="13"/>
  <c r="B90" i="42" l="1"/>
  <c r="I24" i="42"/>
  <c r="B148" i="42"/>
  <c r="B125" i="42"/>
  <c r="B69" i="42"/>
  <c r="B36" i="42"/>
  <c r="B89" i="42" l="1"/>
  <c r="J24" i="42"/>
  <c r="B124" i="42"/>
  <c r="B147" i="42"/>
  <c r="B68" i="42"/>
  <c r="B35" i="42"/>
  <c r="B88" i="42" l="1"/>
  <c r="K24" i="42"/>
  <c r="B146" i="42"/>
  <c r="B123" i="42"/>
  <c r="B67" i="42"/>
  <c r="B34" i="42"/>
  <c r="B87" i="42" l="1"/>
  <c r="L24" i="42"/>
  <c r="B145" i="42"/>
  <c r="B66" i="42"/>
  <c r="B33" i="42"/>
  <c r="B136" i="42" l="1"/>
  <c r="B100" i="42"/>
  <c r="B158" i="42"/>
  <c r="B195" i="42"/>
  <c r="C65" i="42" l="1"/>
  <c r="C178" i="42"/>
  <c r="B205" i="42"/>
  <c r="B210" i="42"/>
  <c r="B196" i="42"/>
  <c r="B20" i="42"/>
  <c r="D65" i="42" l="1"/>
  <c r="D178" i="42"/>
  <c r="B206" i="42"/>
  <c r="B211" i="42"/>
  <c r="B19" i="42"/>
  <c r="K50" i="29"/>
  <c r="K48" i="29"/>
  <c r="K47" i="29"/>
  <c r="K46" i="29"/>
  <c r="E65" i="42" l="1"/>
  <c r="E178" i="42"/>
  <c r="B18" i="42"/>
  <c r="K50" i="7"/>
  <c r="K48" i="7"/>
  <c r="K47" i="7"/>
  <c r="F178" i="42" l="1"/>
  <c r="F65" i="42"/>
  <c r="B17" i="42"/>
  <c r="G65" i="42" l="1"/>
  <c r="G178" i="42"/>
  <c r="B16" i="42"/>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11" i="5"/>
  <c r="A38" i="7" l="1"/>
  <c r="A37" i="29"/>
  <c r="H65" i="42"/>
  <c r="H178" i="42"/>
  <c r="B15" i="42"/>
  <c r="A12" i="5"/>
  <c r="A39" i="7" l="1"/>
  <c r="A38" i="29"/>
  <c r="I65" i="42"/>
  <c r="A13" i="5"/>
  <c r="I178" i="42"/>
  <c r="B14" i="42"/>
  <c r="A39" i="29" l="1"/>
  <c r="A40" i="7"/>
  <c r="A14" i="5"/>
  <c r="J65" i="42"/>
  <c r="J178" i="42"/>
  <c r="B13" i="42"/>
  <c r="A41" i="7" l="1"/>
  <c r="A40" i="29"/>
  <c r="K65" i="42"/>
  <c r="K178" i="42"/>
  <c r="L65" i="42"/>
  <c r="A15" i="5"/>
  <c r="B12" i="42"/>
  <c r="A41" i="29" l="1"/>
  <c r="A42" i="7"/>
  <c r="A16" i="5"/>
  <c r="A42" i="29" l="1"/>
  <c r="A43" i="7"/>
  <c r="A17" i="5"/>
  <c r="A44" i="7" l="1"/>
  <c r="A43" i="29"/>
  <c r="A18" i="5"/>
  <c r="A44" i="29" l="1"/>
  <c r="A47" i="7"/>
  <c r="A48" i="7" s="1"/>
  <c r="A19" i="5"/>
  <c r="A20" i="5" l="1"/>
  <c r="A21" i="5" l="1"/>
  <c r="A22" i="5" l="1"/>
  <c r="A23" i="5" l="1"/>
  <c r="A24" i="5" l="1"/>
  <c r="A25" i="5" l="1"/>
  <c r="A26" i="5" l="1"/>
  <c r="A27" i="5" l="1"/>
  <c r="A28" i="5" l="1"/>
  <c r="A48" i="29"/>
  <c r="A47" i="29"/>
  <c r="A36" i="29"/>
  <c r="A35" i="29"/>
  <c r="A34" i="29"/>
  <c r="A33" i="29"/>
  <c r="A32" i="29"/>
  <c r="A31" i="29"/>
  <c r="A30" i="29"/>
  <c r="A28" i="29"/>
  <c r="A27" i="29"/>
  <c r="A25" i="29"/>
  <c r="A24" i="29"/>
  <c r="A23" i="29"/>
  <c r="A22" i="29"/>
  <c r="A21" i="29"/>
  <c r="A20" i="29"/>
  <c r="A19" i="29"/>
  <c r="A18" i="29"/>
  <c r="A17" i="29"/>
  <c r="A16" i="29"/>
  <c r="A15" i="29"/>
  <c r="A14" i="29"/>
  <c r="A13" i="29"/>
  <c r="A12" i="29"/>
  <c r="A11" i="29"/>
  <c r="A9" i="29"/>
  <c r="M47" i="29"/>
  <c r="M48" i="7"/>
  <c r="M50" i="7"/>
  <c r="N98" i="36"/>
  <c r="O99" i="36"/>
  <c r="O100" i="36" s="1"/>
  <c r="N100" i="36" s="1"/>
  <c r="N98" i="35"/>
  <c r="O99" i="35"/>
  <c r="O100" i="35" s="1"/>
  <c r="A14" i="28"/>
  <c r="A15" i="28" s="1"/>
  <c r="A16" i="28" s="1"/>
  <c r="A17" i="28" s="1"/>
  <c r="A18" i="28" s="1"/>
  <c r="A19" i="28" s="1"/>
  <c r="A20" i="28" s="1"/>
  <c r="A21" i="28" s="1"/>
  <c r="A22" i="28" s="1"/>
  <c r="B11" i="26"/>
  <c r="B12" i="26" s="1"/>
  <c r="M47" i="7"/>
  <c r="L45" i="27"/>
  <c r="G46" i="23"/>
  <c r="N99" i="36" l="1"/>
  <c r="A29" i="5"/>
  <c r="N99" i="35"/>
  <c r="O101" i="36"/>
  <c r="O101" i="35"/>
  <c r="N100" i="35"/>
  <c r="A40" i="1"/>
  <c r="B13" i="26"/>
  <c r="A10" i="25"/>
  <c r="D41" i="31"/>
  <c r="E41" i="31" s="1"/>
  <c r="F41" i="31" s="1"/>
  <c r="A29" i="2"/>
  <c r="D47" i="31"/>
  <c r="D70" i="31" s="1"/>
  <c r="D102" i="31" s="1"/>
  <c r="D129" i="31" s="1"/>
  <c r="A23" i="28"/>
  <c r="L48" i="29"/>
  <c r="A26" i="29"/>
  <c r="A29" i="29"/>
  <c r="M48" i="29"/>
  <c r="A10" i="29"/>
  <c r="L50" i="29"/>
  <c r="M50" i="29"/>
  <c r="A39" i="1" l="1"/>
  <c r="A38" i="1" s="1"/>
  <c r="A37" i="1" s="1"/>
  <c r="A30" i="5"/>
  <c r="B10" i="4"/>
  <c r="B11" i="4" s="1"/>
  <c r="A9" i="24"/>
  <c r="B14" i="26"/>
  <c r="B15" i="26" s="1"/>
  <c r="C35" i="31"/>
  <c r="C34" i="31" s="1"/>
  <c r="C33" i="31" s="1"/>
  <c r="A24" i="28"/>
  <c r="E40" i="32"/>
  <c r="A28" i="2"/>
  <c r="A27" i="2" s="1"/>
  <c r="A29" i="10"/>
  <c r="A49" i="29"/>
  <c r="O102" i="36"/>
  <c r="N101" i="36"/>
  <c r="O102" i="35"/>
  <c r="N101" i="35"/>
  <c r="F9" i="32"/>
  <c r="D9" i="32"/>
  <c r="A8" i="22"/>
  <c r="A8" i="23"/>
  <c r="A13" i="18"/>
  <c r="D40" i="32"/>
  <c r="C20" i="31"/>
  <c r="C19" i="32" s="1"/>
  <c r="C34" i="32" s="1"/>
  <c r="C58" i="31"/>
  <c r="C81" i="31" s="1"/>
  <c r="C97" i="31" s="1"/>
  <c r="C20" i="32"/>
  <c r="C57" i="32" s="1"/>
  <c r="C80" i="32" s="1"/>
  <c r="C112" i="32" s="1"/>
  <c r="B11" i="3"/>
  <c r="A1" i="17"/>
  <c r="A1" i="14"/>
  <c r="D86" i="31"/>
  <c r="D161" i="31"/>
  <c r="D188" i="31" s="1"/>
  <c r="D145" i="31"/>
  <c r="G41" i="31"/>
  <c r="F40" i="32"/>
  <c r="A11" i="25" l="1"/>
  <c r="A9" i="22"/>
  <c r="A10" i="24"/>
  <c r="A9" i="23"/>
  <c r="A36" i="1"/>
  <c r="A35" i="1" s="1"/>
  <c r="A31" i="5"/>
  <c r="A25" i="28"/>
  <c r="B12" i="3"/>
  <c r="A14" i="18"/>
  <c r="A15" i="18" s="1"/>
  <c r="E26" i="31"/>
  <c r="A29" i="11"/>
  <c r="A28" i="10"/>
  <c r="C19" i="31"/>
  <c r="C18" i="31" s="1"/>
  <c r="C113" i="31"/>
  <c r="C140" i="31" s="1"/>
  <c r="C57" i="31"/>
  <c r="C56" i="31" s="1"/>
  <c r="C79" i="31" s="1"/>
  <c r="O103" i="36"/>
  <c r="N102" i="36"/>
  <c r="O103" i="35"/>
  <c r="N102" i="35"/>
  <c r="E9" i="32"/>
  <c r="E46" i="32" s="1"/>
  <c r="E69" i="32" s="1"/>
  <c r="E47" i="31"/>
  <c r="E70" i="31" s="1"/>
  <c r="E102" i="31" s="1"/>
  <c r="E129" i="31" s="1"/>
  <c r="E161" i="31" s="1"/>
  <c r="E188" i="31" s="1"/>
  <c r="D46" i="32"/>
  <c r="D69" i="32" s="1"/>
  <c r="D26" i="31"/>
  <c r="C56" i="32"/>
  <c r="C79" i="32" s="1"/>
  <c r="C96" i="32"/>
  <c r="F47" i="31"/>
  <c r="F70" i="31" s="1"/>
  <c r="F86" i="31" s="1"/>
  <c r="B16" i="26"/>
  <c r="F46" i="32"/>
  <c r="F69" i="32" s="1"/>
  <c r="A26" i="2"/>
  <c r="B12" i="4"/>
  <c r="A10" i="23"/>
  <c r="A10" i="22"/>
  <c r="A11" i="24"/>
  <c r="A12" i="25"/>
  <c r="D220" i="31"/>
  <c r="D247" i="31" s="1"/>
  <c r="D205" i="31"/>
  <c r="H41" i="31"/>
  <c r="G40" i="32"/>
  <c r="C32" i="31"/>
  <c r="C138" i="32"/>
  <c r="B45" i="18" l="1"/>
  <c r="I39" i="1"/>
  <c r="A26" i="28"/>
  <c r="I37" i="1"/>
  <c r="B43" i="18"/>
  <c r="A32" i="5"/>
  <c r="B13" i="3"/>
  <c r="B14" i="3" s="1"/>
  <c r="F102" i="31"/>
  <c r="F129" i="31" s="1"/>
  <c r="F161" i="31" s="1"/>
  <c r="F188" i="31" s="1"/>
  <c r="F205" i="31" s="1"/>
  <c r="E25" i="32"/>
  <c r="E145" i="31"/>
  <c r="E86" i="31"/>
  <c r="C18" i="32"/>
  <c r="C33" i="32" s="1"/>
  <c r="C80" i="31"/>
  <c r="C96" i="31" s="1"/>
  <c r="A27" i="10"/>
  <c r="C55" i="31"/>
  <c r="C78" i="31" s="1"/>
  <c r="A28" i="11"/>
  <c r="A29" i="12"/>
  <c r="O104" i="36"/>
  <c r="N103" i="36"/>
  <c r="O104" i="35"/>
  <c r="N103" i="35"/>
  <c r="D25" i="32"/>
  <c r="D101" i="32"/>
  <c r="D127" i="32" s="1"/>
  <c r="D85" i="32"/>
  <c r="E101" i="32"/>
  <c r="E127" i="32" s="1"/>
  <c r="E85" i="32"/>
  <c r="C111" i="32"/>
  <c r="C137" i="32" s="1"/>
  <c r="C169" i="32" s="1"/>
  <c r="C95" i="32"/>
  <c r="C95" i="31"/>
  <c r="C111" i="31"/>
  <c r="C138" i="31" s="1"/>
  <c r="C154" i="31" s="1"/>
  <c r="C17" i="32"/>
  <c r="C17" i="31"/>
  <c r="G47" i="31"/>
  <c r="G70" i="31" s="1"/>
  <c r="G86" i="31" s="1"/>
  <c r="G9" i="32"/>
  <c r="F26" i="31"/>
  <c r="B17" i="26"/>
  <c r="F85" i="32"/>
  <c r="F101" i="32"/>
  <c r="F127" i="32" s="1"/>
  <c r="A25" i="2"/>
  <c r="A12" i="24"/>
  <c r="A11" i="22"/>
  <c r="B13" i="4"/>
  <c r="A13" i="25"/>
  <c r="A11" i="23"/>
  <c r="A16" i="18"/>
  <c r="I41" i="31"/>
  <c r="H40" i="32"/>
  <c r="C156" i="31"/>
  <c r="C172" i="31"/>
  <c r="C154" i="32"/>
  <c r="C170" i="32"/>
  <c r="C31" i="31"/>
  <c r="E220" i="31"/>
  <c r="E247" i="31" s="1"/>
  <c r="E205" i="31"/>
  <c r="A27" i="28" l="1"/>
  <c r="A28" i="28" s="1"/>
  <c r="B44" i="18"/>
  <c r="A33" i="5"/>
  <c r="F220" i="31"/>
  <c r="F247" i="31" s="1"/>
  <c r="E263" i="31" s="1"/>
  <c r="E281" i="31" s="1"/>
  <c r="E307" i="31" s="1"/>
  <c r="E322" i="31" s="1"/>
  <c r="C39" i="13" s="1"/>
  <c r="C41" i="13" s="1"/>
  <c r="F145" i="31"/>
  <c r="C55" i="32"/>
  <c r="C78" i="32" s="1"/>
  <c r="C94" i="32" s="1"/>
  <c r="C170" i="31"/>
  <c r="C197" i="31" s="1"/>
  <c r="C112" i="31"/>
  <c r="C139" i="31" s="1"/>
  <c r="C155" i="31" s="1"/>
  <c r="C54" i="31"/>
  <c r="C53" i="31" s="1"/>
  <c r="A26" i="10"/>
  <c r="A27" i="11"/>
  <c r="A30" i="13"/>
  <c r="A27" i="16" s="1"/>
  <c r="A26" i="16" s="1"/>
  <c r="A25" i="16" s="1"/>
  <c r="A24" i="16" s="1"/>
  <c r="A23" i="16" s="1"/>
  <c r="A22" i="16" s="1"/>
  <c r="A21" i="16" s="1"/>
  <c r="A20" i="16" s="1"/>
  <c r="A19" i="16" s="1"/>
  <c r="A18" i="16" s="1"/>
  <c r="A17" i="16" s="1"/>
  <c r="A16" i="16" s="1"/>
  <c r="A15" i="16" s="1"/>
  <c r="A14" i="16" s="1"/>
  <c r="A13" i="16" s="1"/>
  <c r="A12" i="16" s="1"/>
  <c r="A11" i="16" s="1"/>
  <c r="A10" i="16" s="1"/>
  <c r="A9" i="16" s="1"/>
  <c r="A8" i="16" s="1"/>
  <c r="A7" i="16" s="1"/>
  <c r="A6" i="16" s="1"/>
  <c r="A50" i="12"/>
  <c r="A28" i="12"/>
  <c r="C153" i="32"/>
  <c r="N104" i="36"/>
  <c r="O105" i="36"/>
  <c r="O105" i="35"/>
  <c r="N104" i="35"/>
  <c r="E159" i="32"/>
  <c r="E185" i="32" s="1"/>
  <c r="E143" i="32"/>
  <c r="G102" i="31"/>
  <c r="G129" i="31" s="1"/>
  <c r="D143" i="32"/>
  <c r="D159" i="32"/>
  <c r="D185" i="32" s="1"/>
  <c r="C94" i="31"/>
  <c r="C110" i="31"/>
  <c r="C137" i="31" s="1"/>
  <c r="C153" i="31" s="1"/>
  <c r="G46" i="32"/>
  <c r="G69" i="32" s="1"/>
  <c r="F25" i="32"/>
  <c r="C16" i="32"/>
  <c r="C16" i="31"/>
  <c r="G26" i="31"/>
  <c r="H9" i="32"/>
  <c r="H47" i="31"/>
  <c r="H70" i="31" s="1"/>
  <c r="H102" i="31" s="1"/>
  <c r="H129" i="31" s="1"/>
  <c r="H145" i="31" s="1"/>
  <c r="C54" i="32"/>
  <c r="C77" i="32" s="1"/>
  <c r="C93" i="32" s="1"/>
  <c r="C32" i="32"/>
  <c r="B18" i="26"/>
  <c r="A24" i="2"/>
  <c r="F143" i="32"/>
  <c r="F159" i="32"/>
  <c r="F185" i="32" s="1"/>
  <c r="A13" i="24"/>
  <c r="B14" i="4"/>
  <c r="A14" i="25"/>
  <c r="A12" i="23"/>
  <c r="A12" i="22"/>
  <c r="A17" i="18"/>
  <c r="B15" i="3"/>
  <c r="J41" i="31"/>
  <c r="J40" i="32" s="1"/>
  <c r="I40" i="32"/>
  <c r="D263" i="31"/>
  <c r="D281" i="31" s="1"/>
  <c r="D307" i="31" s="1"/>
  <c r="D322" i="31" s="1"/>
  <c r="B39" i="13" s="1"/>
  <c r="B41" i="13" s="1"/>
  <c r="C30" i="31"/>
  <c r="C199" i="31"/>
  <c r="C196" i="32"/>
  <c r="C195" i="32"/>
  <c r="A5" i="16" l="1"/>
  <c r="A22" i="17"/>
  <c r="A29" i="28"/>
  <c r="A30" i="28" s="1"/>
  <c r="B42" i="18"/>
  <c r="A34" i="5"/>
  <c r="I38" i="1"/>
  <c r="A34" i="1"/>
  <c r="C110" i="32"/>
  <c r="C136" i="32" s="1"/>
  <c r="C168" i="32" s="1"/>
  <c r="C194" i="32" s="1"/>
  <c r="C171" i="31"/>
  <c r="C198" i="31" s="1"/>
  <c r="C230" i="31" s="1"/>
  <c r="C77" i="31"/>
  <c r="C109" i="31" s="1"/>
  <c r="C136" i="31" s="1"/>
  <c r="H161" i="31"/>
  <c r="H188" i="31" s="1"/>
  <c r="H220" i="31" s="1"/>
  <c r="H247" i="31" s="1"/>
  <c r="H86" i="31"/>
  <c r="A25" i="10"/>
  <c r="C169" i="31"/>
  <c r="C196" i="31" s="1"/>
  <c r="C109" i="32"/>
  <c r="C135" i="32" s="1"/>
  <c r="A26" i="11"/>
  <c r="A29" i="13"/>
  <c r="A49" i="12"/>
  <c r="A27" i="12"/>
  <c r="O106" i="36"/>
  <c r="N105" i="36"/>
  <c r="N105" i="35"/>
  <c r="O106" i="35"/>
  <c r="D217" i="32"/>
  <c r="D244" i="32" s="1"/>
  <c r="D260" i="32" s="1"/>
  <c r="D202" i="32"/>
  <c r="G145" i="31"/>
  <c r="G161" i="31"/>
  <c r="G188" i="31" s="1"/>
  <c r="E202" i="32"/>
  <c r="E217" i="32"/>
  <c r="E244" i="32" s="1"/>
  <c r="E260" i="32" s="1"/>
  <c r="C52" i="31"/>
  <c r="C76" i="31"/>
  <c r="G25" i="32"/>
  <c r="H46" i="32"/>
  <c r="H69" i="32" s="1"/>
  <c r="H26" i="31"/>
  <c r="I47" i="31"/>
  <c r="I70" i="31" s="1"/>
  <c r="I86" i="31" s="1"/>
  <c r="I9" i="32"/>
  <c r="C15" i="31"/>
  <c r="C15" i="32"/>
  <c r="C53" i="32"/>
  <c r="C76" i="32" s="1"/>
  <c r="C92" i="32" s="1"/>
  <c r="C31" i="32"/>
  <c r="G85" i="32"/>
  <c r="G101" i="32"/>
  <c r="G127" i="32" s="1"/>
  <c r="B19" i="26"/>
  <c r="F202" i="32"/>
  <c r="F217" i="32"/>
  <c r="F244" i="32" s="1"/>
  <c r="F260" i="32" s="1"/>
  <c r="A23" i="2"/>
  <c r="A13" i="23"/>
  <c r="A15" i="25"/>
  <c r="A13" i="22"/>
  <c r="A14" i="24"/>
  <c r="B15" i="4"/>
  <c r="A18" i="18"/>
  <c r="B16" i="3"/>
  <c r="C228" i="32"/>
  <c r="C229" i="31"/>
  <c r="C214" i="31"/>
  <c r="C29" i="31"/>
  <c r="C231" i="31"/>
  <c r="C227" i="32"/>
  <c r="C212" i="32"/>
  <c r="A35" i="28" l="1"/>
  <c r="A34" i="28"/>
  <c r="B41" i="18"/>
  <c r="A35" i="5"/>
  <c r="I36" i="1"/>
  <c r="A33" i="1"/>
  <c r="C152" i="32"/>
  <c r="H205" i="31"/>
  <c r="C215" i="31"/>
  <c r="C93" i="31"/>
  <c r="D276" i="32"/>
  <c r="D301" i="32" s="1"/>
  <c r="D315" i="32" s="1"/>
  <c r="D330" i="32" s="1"/>
  <c r="C168" i="31"/>
  <c r="C195" i="31" s="1"/>
  <c r="C152" i="31"/>
  <c r="E276" i="32"/>
  <c r="E301" i="32" s="1"/>
  <c r="E315" i="32" s="1"/>
  <c r="E330" i="32" s="1"/>
  <c r="C46" i="16" s="1"/>
  <c r="C48" i="16" s="1"/>
  <c r="A24" i="10"/>
  <c r="A25" i="11"/>
  <c r="A26" i="12"/>
  <c r="A48" i="12"/>
  <c r="A28" i="13"/>
  <c r="O107" i="36"/>
  <c r="N106" i="36"/>
  <c r="N2" i="35"/>
  <c r="O3" i="35"/>
  <c r="O107" i="35"/>
  <c r="N106" i="35"/>
  <c r="G220" i="31"/>
  <c r="G247" i="31" s="1"/>
  <c r="F263" i="31" s="1"/>
  <c r="F281" i="31" s="1"/>
  <c r="F307" i="31" s="1"/>
  <c r="F322" i="31" s="1"/>
  <c r="D39" i="13" s="1"/>
  <c r="D41" i="13" s="1"/>
  <c r="G205" i="31"/>
  <c r="I102" i="31"/>
  <c r="I129" i="31" s="1"/>
  <c r="I145" i="31" s="1"/>
  <c r="C108" i="32"/>
  <c r="C134" i="32" s="1"/>
  <c r="C108" i="31"/>
  <c r="C135" i="31" s="1"/>
  <c r="C167" i="31" s="1"/>
  <c r="C92" i="31"/>
  <c r="C51" i="31"/>
  <c r="C75" i="31"/>
  <c r="C52" i="32"/>
  <c r="C75" i="32" s="1"/>
  <c r="C91" i="32" s="1"/>
  <c r="C30" i="32"/>
  <c r="C14" i="32"/>
  <c r="C14" i="31"/>
  <c r="H25" i="32"/>
  <c r="I46" i="32"/>
  <c r="I69" i="32" s="1"/>
  <c r="I26" i="31"/>
  <c r="J26" i="31" s="1"/>
  <c r="J9" i="32"/>
  <c r="J46" i="32" s="1"/>
  <c r="J69" i="32" s="1"/>
  <c r="J47" i="31"/>
  <c r="J70" i="31" s="1"/>
  <c r="J86" i="31" s="1"/>
  <c r="G143" i="32"/>
  <c r="G159" i="32"/>
  <c r="G185" i="32" s="1"/>
  <c r="H85" i="32"/>
  <c r="H101" i="32"/>
  <c r="H127" i="32" s="1"/>
  <c r="B20" i="26"/>
  <c r="A22" i="2"/>
  <c r="A16" i="25"/>
  <c r="B16" i="4"/>
  <c r="A14" i="23"/>
  <c r="A14" i="22"/>
  <c r="A15" i="24"/>
  <c r="B17" i="3"/>
  <c r="A19" i="18"/>
  <c r="C255" i="32"/>
  <c r="C257" i="31"/>
  <c r="C290" i="31" s="1"/>
  <c r="C256" i="31"/>
  <c r="C272" i="31" s="1"/>
  <c r="C254" i="32"/>
  <c r="C285" i="32" s="1"/>
  <c r="C310" i="32" s="1"/>
  <c r="C258" i="31"/>
  <c r="C151" i="32"/>
  <c r="C167" i="32"/>
  <c r="C28" i="31"/>
  <c r="C226" i="32"/>
  <c r="C211" i="32"/>
  <c r="C228" i="31"/>
  <c r="C213" i="31"/>
  <c r="B46" i="16" l="1"/>
  <c r="B48" i="16" s="1"/>
  <c r="A36" i="5"/>
  <c r="I35" i="1"/>
  <c r="B40" i="18"/>
  <c r="A32" i="1"/>
  <c r="N2" i="36"/>
  <c r="O3" i="36"/>
  <c r="C151" i="31"/>
  <c r="G263" i="31"/>
  <c r="G281" i="31" s="1"/>
  <c r="G307" i="31" s="1"/>
  <c r="G322" i="31" s="1"/>
  <c r="E39" i="13" s="1"/>
  <c r="E41" i="13" s="1"/>
  <c r="A23" i="10"/>
  <c r="A25" i="12"/>
  <c r="A47" i="12"/>
  <c r="A27" i="13"/>
  <c r="A24" i="11"/>
  <c r="O108" i="36"/>
  <c r="N107" i="36"/>
  <c r="O108" i="35"/>
  <c r="N107" i="35"/>
  <c r="O4" i="35"/>
  <c r="N3" i="35"/>
  <c r="I161" i="31"/>
  <c r="I188" i="31" s="1"/>
  <c r="I205" i="31" s="1"/>
  <c r="C107" i="32"/>
  <c r="C133" i="32" s="1"/>
  <c r="J102" i="31"/>
  <c r="J129" i="31" s="1"/>
  <c r="J161" i="31" s="1"/>
  <c r="J188" i="31" s="1"/>
  <c r="J220" i="31" s="1"/>
  <c r="J247" i="31" s="1"/>
  <c r="C91" i="31"/>
  <c r="C107" i="31"/>
  <c r="C134" i="31" s="1"/>
  <c r="C166" i="31" s="1"/>
  <c r="C74" i="31"/>
  <c r="C50" i="31"/>
  <c r="J85" i="32"/>
  <c r="J101" i="32"/>
  <c r="J127" i="32" s="1"/>
  <c r="H143" i="32"/>
  <c r="H159" i="32"/>
  <c r="H185" i="32" s="1"/>
  <c r="I101" i="32"/>
  <c r="I127" i="32" s="1"/>
  <c r="I85" i="32"/>
  <c r="I25" i="32"/>
  <c r="J25" i="32" s="1"/>
  <c r="C13" i="31"/>
  <c r="C13" i="32"/>
  <c r="G217" i="32"/>
  <c r="G244" i="32" s="1"/>
  <c r="G260" i="32" s="1"/>
  <c r="F276" i="32" s="1"/>
  <c r="F301" i="32" s="1"/>
  <c r="F315" i="32" s="1"/>
  <c r="F330" i="32" s="1"/>
  <c r="D46" i="16" s="1"/>
  <c r="D48" i="16" s="1"/>
  <c r="G202" i="32"/>
  <c r="C51" i="32"/>
  <c r="C74" i="32" s="1"/>
  <c r="C106" i="32" s="1"/>
  <c r="C29" i="32"/>
  <c r="B21" i="26"/>
  <c r="A21" i="2"/>
  <c r="C270" i="32"/>
  <c r="C289" i="31"/>
  <c r="C315" i="31" s="1"/>
  <c r="A16" i="24"/>
  <c r="A15" i="22"/>
  <c r="B17" i="4"/>
  <c r="A17" i="25"/>
  <c r="A15" i="23"/>
  <c r="C271" i="32"/>
  <c r="A20" i="18"/>
  <c r="C273" i="31"/>
  <c r="B18" i="3"/>
  <c r="C255" i="31"/>
  <c r="C288" i="31" s="1"/>
  <c r="C253" i="32"/>
  <c r="C269" i="32" s="1"/>
  <c r="C227" i="31"/>
  <c r="C212" i="31"/>
  <c r="C324" i="32"/>
  <c r="C339" i="32"/>
  <c r="C194" i="31"/>
  <c r="C316" i="31"/>
  <c r="C193" i="32"/>
  <c r="C150" i="32"/>
  <c r="C166" i="32"/>
  <c r="A37" i="5" l="1"/>
  <c r="I34" i="1"/>
  <c r="B39" i="18"/>
  <c r="A31" i="1"/>
  <c r="O4" i="36"/>
  <c r="N3" i="36"/>
  <c r="C150" i="31"/>
  <c r="J205" i="31"/>
  <c r="I220" i="31"/>
  <c r="I247" i="31" s="1"/>
  <c r="H263" i="31" s="1"/>
  <c r="H281" i="31" s="1"/>
  <c r="H307" i="31" s="1"/>
  <c r="H322" i="31" s="1"/>
  <c r="F39" i="13" s="1"/>
  <c r="F41" i="13" s="1"/>
  <c r="J145" i="31"/>
  <c r="C90" i="32"/>
  <c r="A22" i="10"/>
  <c r="A26" i="13"/>
  <c r="A23" i="11"/>
  <c r="A46" i="12"/>
  <c r="A24" i="12"/>
  <c r="O109" i="36"/>
  <c r="N108" i="36"/>
  <c r="N4" i="35"/>
  <c r="O5" i="35"/>
  <c r="O109" i="35"/>
  <c r="N108" i="35"/>
  <c r="C73" i="31"/>
  <c r="C49" i="31"/>
  <c r="C72" i="31" s="1"/>
  <c r="C88" i="31" s="1"/>
  <c r="C90" i="31"/>
  <c r="C106" i="31"/>
  <c r="C133" i="31" s="1"/>
  <c r="C165" i="31" s="1"/>
  <c r="C12" i="32"/>
  <c r="C12" i="31"/>
  <c r="C11" i="32" s="1"/>
  <c r="C48" i="32" s="1"/>
  <c r="I143" i="32"/>
  <c r="I159" i="32"/>
  <c r="I185" i="32" s="1"/>
  <c r="H202" i="32"/>
  <c r="H217" i="32"/>
  <c r="H244" i="32" s="1"/>
  <c r="H260" i="32" s="1"/>
  <c r="G276" i="32" s="1"/>
  <c r="G301" i="32" s="1"/>
  <c r="G315" i="32" s="1"/>
  <c r="G330" i="32" s="1"/>
  <c r="E46" i="16" s="1"/>
  <c r="E48" i="16" s="1"/>
  <c r="J143" i="32"/>
  <c r="J159" i="32"/>
  <c r="J185" i="32" s="1"/>
  <c r="C50" i="32"/>
  <c r="C73" i="32" s="1"/>
  <c r="C105" i="32" s="1"/>
  <c r="C28" i="32"/>
  <c r="C271" i="31"/>
  <c r="B22" i="26"/>
  <c r="A20" i="2"/>
  <c r="A16" i="22"/>
  <c r="A18" i="25"/>
  <c r="A16" i="23"/>
  <c r="A17" i="24"/>
  <c r="B18" i="4"/>
  <c r="C284" i="32"/>
  <c r="C309" i="32" s="1"/>
  <c r="C338" i="32" s="1"/>
  <c r="A21" i="18"/>
  <c r="B19" i="3"/>
  <c r="C330" i="31"/>
  <c r="C331" i="31"/>
  <c r="C254" i="31"/>
  <c r="C270" i="31" s="1"/>
  <c r="C132" i="32"/>
  <c r="C165" i="32"/>
  <c r="C149" i="32"/>
  <c r="C192" i="32"/>
  <c r="C210" i="32"/>
  <c r="C225" i="32"/>
  <c r="C226" i="31"/>
  <c r="C211" i="31"/>
  <c r="C314" i="31"/>
  <c r="C193" i="31"/>
  <c r="A38" i="5" l="1"/>
  <c r="I33" i="1"/>
  <c r="B38" i="18"/>
  <c r="A30" i="1"/>
  <c r="O5" i="36"/>
  <c r="N4" i="36"/>
  <c r="I263" i="31"/>
  <c r="I281" i="31" s="1"/>
  <c r="I307" i="31" s="1"/>
  <c r="I322" i="31" s="1"/>
  <c r="G39" i="13" s="1"/>
  <c r="G41" i="13" s="1"/>
  <c r="C104" i="31"/>
  <c r="C131" i="31" s="1"/>
  <c r="A21" i="10"/>
  <c r="A22" i="11"/>
  <c r="A25" i="13"/>
  <c r="A45" i="12"/>
  <c r="A23" i="12"/>
  <c r="N109" i="36"/>
  <c r="O110" i="36"/>
  <c r="O110" i="35"/>
  <c r="N109" i="35"/>
  <c r="O6" i="35"/>
  <c r="N5" i="35"/>
  <c r="C149" i="31"/>
  <c r="C287" i="31"/>
  <c r="C313" i="31" s="1"/>
  <c r="C89" i="32"/>
  <c r="C89" i="31"/>
  <c r="C105" i="31"/>
  <c r="C132" i="31" s="1"/>
  <c r="C148" i="31" s="1"/>
  <c r="J202" i="32"/>
  <c r="J217" i="32"/>
  <c r="J244" i="32" s="1"/>
  <c r="J260" i="32" s="1"/>
  <c r="I217" i="32"/>
  <c r="I244" i="32" s="1"/>
  <c r="I260" i="32" s="1"/>
  <c r="I202" i="32"/>
  <c r="C27" i="32"/>
  <c r="C49" i="32"/>
  <c r="C72" i="32" s="1"/>
  <c r="C104" i="32" s="1"/>
  <c r="B23" i="26"/>
  <c r="A19" i="2"/>
  <c r="A18" i="24"/>
  <c r="A17" i="23"/>
  <c r="A17" i="22"/>
  <c r="A19" i="25"/>
  <c r="B19" i="4"/>
  <c r="C323" i="32"/>
  <c r="A22" i="18"/>
  <c r="B20" i="3"/>
  <c r="C253" i="31"/>
  <c r="C286" i="31" s="1"/>
  <c r="C329" i="31"/>
  <c r="C252" i="32"/>
  <c r="C268" i="32" s="1"/>
  <c r="C148" i="32"/>
  <c r="C164" i="32"/>
  <c r="C71" i="32"/>
  <c r="C224" i="32"/>
  <c r="C209" i="32"/>
  <c r="C131" i="32"/>
  <c r="C192" i="31"/>
  <c r="C225" i="31"/>
  <c r="C210" i="31"/>
  <c r="C191" i="32"/>
  <c r="A39" i="5" l="1"/>
  <c r="I32" i="1"/>
  <c r="B37" i="18"/>
  <c r="A29" i="1"/>
  <c r="N5" i="36"/>
  <c r="O6" i="36"/>
  <c r="C164" i="31"/>
  <c r="C191" i="31" s="1"/>
  <c r="C88" i="32"/>
  <c r="A20" i="10"/>
  <c r="A24" i="13"/>
  <c r="A21" i="11"/>
  <c r="A44" i="12"/>
  <c r="A22" i="12"/>
  <c r="O111" i="36"/>
  <c r="N110" i="36"/>
  <c r="O7" i="35"/>
  <c r="N6" i="35"/>
  <c r="N110" i="35"/>
  <c r="O111" i="35"/>
  <c r="I276" i="32"/>
  <c r="I301" i="32" s="1"/>
  <c r="I315" i="32" s="1"/>
  <c r="I330" i="32" s="1"/>
  <c r="G46" i="16" s="1"/>
  <c r="G48" i="16" s="1"/>
  <c r="H276" i="32"/>
  <c r="H301" i="32" s="1"/>
  <c r="H315" i="32" s="1"/>
  <c r="H330" i="32" s="1"/>
  <c r="C283" i="32"/>
  <c r="C308" i="32" s="1"/>
  <c r="C322" i="32" s="1"/>
  <c r="B24" i="26"/>
  <c r="A18" i="2"/>
  <c r="A18" i="22"/>
  <c r="A20" i="25"/>
  <c r="A19" i="24"/>
  <c r="B20" i="4"/>
  <c r="A18" i="23"/>
  <c r="C269" i="31"/>
  <c r="B21" i="3"/>
  <c r="A23" i="18"/>
  <c r="C252" i="31"/>
  <c r="C285" i="31" s="1"/>
  <c r="C251" i="32"/>
  <c r="C328" i="31"/>
  <c r="C130" i="32"/>
  <c r="C163" i="32"/>
  <c r="C147" i="32"/>
  <c r="C312" i="31"/>
  <c r="C224" i="31"/>
  <c r="C209" i="31"/>
  <c r="C147" i="31"/>
  <c r="C163" i="31"/>
  <c r="C103" i="32"/>
  <c r="C87" i="32"/>
  <c r="C208" i="32"/>
  <c r="C223" i="32"/>
  <c r="C190" i="32"/>
  <c r="F46" i="16" l="1"/>
  <c r="F48" i="16" s="1"/>
  <c r="A40" i="5"/>
  <c r="I31" i="1"/>
  <c r="B36" i="18"/>
  <c r="A28" i="1"/>
  <c r="O7" i="36"/>
  <c r="N6" i="36"/>
  <c r="A19" i="10"/>
  <c r="A43" i="12"/>
  <c r="A21" i="12"/>
  <c r="A20" i="11"/>
  <c r="A23" i="13"/>
  <c r="N111" i="36"/>
  <c r="O112" i="36"/>
  <c r="N111" i="35"/>
  <c r="O112" i="35"/>
  <c r="N7" i="35"/>
  <c r="O8" i="35"/>
  <c r="C337" i="32"/>
  <c r="B25" i="26"/>
  <c r="A17" i="2"/>
  <c r="C268" i="31"/>
  <c r="A20" i="24"/>
  <c r="A19" i="22"/>
  <c r="A21" i="25"/>
  <c r="A19" i="23"/>
  <c r="B21" i="4"/>
  <c r="C282" i="32"/>
  <c r="C307" i="32" s="1"/>
  <c r="C321" i="32" s="1"/>
  <c r="C267" i="32"/>
  <c r="A24" i="18"/>
  <c r="A25" i="18" s="1"/>
  <c r="A26" i="18" s="1"/>
  <c r="A27" i="18" s="1"/>
  <c r="A28" i="18" s="1"/>
  <c r="A29" i="18" s="1"/>
  <c r="A30" i="18" s="1"/>
  <c r="A31" i="18" s="1"/>
  <c r="A32" i="18" s="1"/>
  <c r="A33" i="18" s="1"/>
  <c r="A34" i="18" s="1"/>
  <c r="A35" i="18" s="1"/>
  <c r="A36" i="18" s="1"/>
  <c r="A37" i="18" s="1"/>
  <c r="A38" i="18" s="1"/>
  <c r="A39" i="18" s="1"/>
  <c r="A40" i="18" s="1"/>
  <c r="B22" i="3"/>
  <c r="C327" i="31"/>
  <c r="C250" i="32"/>
  <c r="C251" i="31"/>
  <c r="C284" i="31" s="1"/>
  <c r="C129" i="32"/>
  <c r="C189" i="32"/>
  <c r="C190" i="31"/>
  <c r="C311" i="31"/>
  <c r="C222" i="32"/>
  <c r="C207" i="32"/>
  <c r="C223" i="31"/>
  <c r="C208" i="31"/>
  <c r="C146" i="32"/>
  <c r="C162" i="32"/>
  <c r="A41" i="5" l="1"/>
  <c r="A42" i="5" s="1"/>
  <c r="A43" i="5" s="1"/>
  <c r="A44" i="5" s="1"/>
  <c r="A45" i="5" s="1"/>
  <c r="I30" i="1"/>
  <c r="B35" i="18"/>
  <c r="A27" i="1"/>
  <c r="N7" i="36"/>
  <c r="O8" i="36"/>
  <c r="A18" i="10"/>
  <c r="A19" i="11"/>
  <c r="A22" i="13"/>
  <c r="A20" i="12"/>
  <c r="A42" i="12"/>
  <c r="O113" i="36"/>
  <c r="N112" i="36"/>
  <c r="N8" i="35"/>
  <c r="O9" i="35"/>
  <c r="N112" i="35"/>
  <c r="O113" i="35"/>
  <c r="B26" i="26"/>
  <c r="A16" i="2"/>
  <c r="C336" i="32"/>
  <c r="A21" i="24"/>
  <c r="A22" i="25"/>
  <c r="A20" i="23"/>
  <c r="A20" i="22"/>
  <c r="B22" i="4"/>
  <c r="A41" i="18"/>
  <c r="C281" i="32"/>
  <c r="C306" i="32" s="1"/>
  <c r="C320" i="32" s="1"/>
  <c r="C267" i="31"/>
  <c r="C266" i="32"/>
  <c r="B23" i="3"/>
  <c r="C326" i="31"/>
  <c r="C249" i="32"/>
  <c r="C250" i="31"/>
  <c r="C266" i="31" s="1"/>
  <c r="C188" i="32"/>
  <c r="C222" i="31"/>
  <c r="C207" i="31"/>
  <c r="C310" i="31"/>
  <c r="C206" i="32"/>
  <c r="C221" i="32"/>
  <c r="C161" i="32"/>
  <c r="C145" i="32"/>
  <c r="I29" i="1" l="1"/>
  <c r="B34" i="18"/>
  <c r="A26" i="1"/>
  <c r="N8" i="36"/>
  <c r="O9" i="36"/>
  <c r="A17" i="10"/>
  <c r="A21" i="13"/>
  <c r="A41" i="12"/>
  <c r="A19" i="12"/>
  <c r="A18" i="11"/>
  <c r="N113" i="36"/>
  <c r="O114" i="36"/>
  <c r="N113" i="35"/>
  <c r="O114" i="35"/>
  <c r="O10" i="35"/>
  <c r="N9" i="35"/>
  <c r="B27" i="26"/>
  <c r="A15" i="2"/>
  <c r="C335" i="32"/>
  <c r="A23" i="25"/>
  <c r="A21" i="22"/>
  <c r="A21" i="23"/>
  <c r="B23" i="4"/>
  <c r="A22" i="24"/>
  <c r="A42" i="18"/>
  <c r="C283" i="31"/>
  <c r="C309" i="31" s="1"/>
  <c r="C265" i="32"/>
  <c r="C280" i="32"/>
  <c r="C305" i="32" s="1"/>
  <c r="C319" i="32" s="1"/>
  <c r="B24" i="3"/>
  <c r="C249" i="31"/>
  <c r="C325" i="31"/>
  <c r="C248" i="32"/>
  <c r="C187" i="32"/>
  <c r="C220" i="32"/>
  <c r="C205" i="32"/>
  <c r="A43" i="18" l="1"/>
  <c r="I28" i="1"/>
  <c r="B33" i="18"/>
  <c r="A25" i="1"/>
  <c r="N9" i="36"/>
  <c r="O10" i="36"/>
  <c r="A16" i="10"/>
  <c r="A18" i="12"/>
  <c r="A40" i="12"/>
  <c r="A17" i="11"/>
  <c r="A20" i="13"/>
  <c r="O115" i="36"/>
  <c r="N114" i="36"/>
  <c r="N10" i="35"/>
  <c r="O11" i="35"/>
  <c r="N114" i="35"/>
  <c r="O115" i="35"/>
  <c r="B28" i="26"/>
  <c r="A14" i="2"/>
  <c r="B24" i="4"/>
  <c r="A22" i="22"/>
  <c r="A23" i="24"/>
  <c r="A24" i="25"/>
  <c r="A22" i="23"/>
  <c r="C334" i="32"/>
  <c r="C279" i="32"/>
  <c r="C304" i="32" s="1"/>
  <c r="C333" i="32" s="1"/>
  <c r="C264" i="32"/>
  <c r="B25" i="3"/>
  <c r="C247" i="32"/>
  <c r="C265" i="31"/>
  <c r="C324" i="31"/>
  <c r="C219" i="32"/>
  <c r="C204" i="32"/>
  <c r="A44" i="18" l="1"/>
  <c r="A45" i="18" s="1"/>
  <c r="A46" i="18" s="1"/>
  <c r="A47" i="18" s="1"/>
  <c r="A48" i="5"/>
  <c r="I27" i="1"/>
  <c r="B32" i="18"/>
  <c r="A24" i="1"/>
  <c r="O11" i="36"/>
  <c r="N10" i="36"/>
  <c r="A15" i="10"/>
  <c r="A17" i="12"/>
  <c r="A39" i="12"/>
  <c r="A19" i="13"/>
  <c r="A16" i="11"/>
  <c r="N115" i="36"/>
  <c r="O116" i="36"/>
  <c r="N115" i="35"/>
  <c r="O116" i="35"/>
  <c r="N11" i="35"/>
  <c r="O12" i="35"/>
  <c r="B29" i="26"/>
  <c r="A27" i="19"/>
  <c r="A13" i="2"/>
  <c r="C318" i="32"/>
  <c r="A23" i="23"/>
  <c r="A24" i="24"/>
  <c r="A25" i="25"/>
  <c r="A23" i="22"/>
  <c r="B25" i="4"/>
  <c r="C278" i="32"/>
  <c r="C303" i="32" s="1"/>
  <c r="C317" i="32" s="1"/>
  <c r="C263" i="32"/>
  <c r="B26" i="3"/>
  <c r="C246" i="32"/>
  <c r="A49" i="5" l="1"/>
  <c r="I26" i="1"/>
  <c r="B31" i="18"/>
  <c r="A23" i="1"/>
  <c r="O12" i="36"/>
  <c r="N11" i="36"/>
  <c r="A14" i="10"/>
  <c r="A16" i="12"/>
  <c r="A38" i="12"/>
  <c r="A15" i="11"/>
  <c r="A18" i="13"/>
  <c r="O117" i="36"/>
  <c r="N116" i="36"/>
  <c r="N12" i="35"/>
  <c r="O13" i="35"/>
  <c r="N116" i="35"/>
  <c r="O117" i="35"/>
  <c r="C332" i="32"/>
  <c r="B30" i="26"/>
  <c r="A27" i="20"/>
  <c r="A26" i="19"/>
  <c r="A12" i="2"/>
  <c r="B26" i="4"/>
  <c r="A24" i="22"/>
  <c r="A25" i="24"/>
  <c r="A26" i="25"/>
  <c r="A24" i="23"/>
  <c r="B27" i="3"/>
  <c r="C262" i="32"/>
  <c r="I25" i="1" l="1"/>
  <c r="B30" i="18"/>
  <c r="A22" i="1"/>
  <c r="O13" i="36"/>
  <c r="N12" i="36"/>
  <c r="A13" i="10"/>
  <c r="A14" i="11"/>
  <c r="A15" i="12"/>
  <c r="A37" i="12"/>
  <c r="A17" i="13"/>
  <c r="N117" i="36"/>
  <c r="O118" i="36"/>
  <c r="O118" i="35"/>
  <c r="N117" i="35"/>
  <c r="O14" i="35"/>
  <c r="N13" i="35"/>
  <c r="B31" i="26"/>
  <c r="A25" i="19"/>
  <c r="A11" i="2"/>
  <c r="A26" i="20"/>
  <c r="A27" i="21"/>
  <c r="A25" i="23"/>
  <c r="B27" i="4"/>
  <c r="A27" i="25"/>
  <c r="A26" i="24"/>
  <c r="A25" i="22"/>
  <c r="B28" i="3"/>
  <c r="I24" i="1" l="1"/>
  <c r="B29" i="18"/>
  <c r="A21" i="1"/>
  <c r="O14" i="36"/>
  <c r="N13" i="36"/>
  <c r="A12" i="10"/>
  <c r="A16" i="13"/>
  <c r="A14" i="12"/>
  <c r="A36" i="12"/>
  <c r="A13" i="11"/>
  <c r="N118" i="36"/>
  <c r="O119" i="36"/>
  <c r="N14" i="35"/>
  <c r="O15" i="35"/>
  <c r="N118" i="35"/>
  <c r="O119" i="35"/>
  <c r="B32" i="26"/>
  <c r="A25" i="20"/>
  <c r="A24" i="19"/>
  <c r="A10" i="2"/>
  <c r="A26" i="21"/>
  <c r="A27" i="15"/>
  <c r="A27" i="24"/>
  <c r="A26" i="22"/>
  <c r="A28" i="25"/>
  <c r="A26" i="23"/>
  <c r="B28" i="4"/>
  <c r="B29" i="3"/>
  <c r="I23" i="1" l="1"/>
  <c r="B28" i="18"/>
  <c r="A20" i="1"/>
  <c r="N14" i="36"/>
  <c r="O15" i="36"/>
  <c r="A11" i="10"/>
  <c r="A35" i="12"/>
  <c r="A13" i="12"/>
  <c r="A15" i="13"/>
  <c r="A12" i="11"/>
  <c r="N119" i="36"/>
  <c r="O120" i="36"/>
  <c r="O120" i="35"/>
  <c r="N119" i="35"/>
  <c r="O16" i="35"/>
  <c r="N15" i="35"/>
  <c r="B33" i="26"/>
  <c r="A26" i="15"/>
  <c r="A53" i="15"/>
  <c r="A24" i="20"/>
  <c r="A25" i="21"/>
  <c r="A9" i="2"/>
  <c r="A23" i="19"/>
  <c r="A27" i="22"/>
  <c r="A29" i="25"/>
  <c r="A27" i="23"/>
  <c r="B29" i="4"/>
  <c r="A28" i="24"/>
  <c r="B30" i="3"/>
  <c r="I22" i="1" l="1"/>
  <c r="B27" i="18"/>
  <c r="A19" i="1"/>
  <c r="N15" i="36"/>
  <c r="O16" i="36"/>
  <c r="A10" i="10"/>
  <c r="A11" i="11"/>
  <c r="A14" i="13"/>
  <c r="A12" i="12"/>
  <c r="A34" i="12"/>
  <c r="N120" i="36"/>
  <c r="O121" i="36"/>
  <c r="O17" i="35"/>
  <c r="N16" i="35"/>
  <c r="O121" i="35"/>
  <c r="N120" i="35"/>
  <c r="B34" i="26"/>
  <c r="A22" i="19"/>
  <c r="A23" i="20"/>
  <c r="A8" i="2"/>
  <c r="A24" i="21"/>
  <c r="A52" i="15"/>
  <c r="A25" i="15"/>
  <c r="B30" i="4"/>
  <c r="A29" i="24"/>
  <c r="A28" i="23"/>
  <c r="A28" i="22"/>
  <c r="A30" i="25"/>
  <c r="B31" i="3"/>
  <c r="I21" i="1" l="1"/>
  <c r="B26" i="18"/>
  <c r="A18" i="1"/>
  <c r="O17" i="36"/>
  <c r="N16" i="36"/>
  <c r="A9" i="10"/>
  <c r="A13" i="13"/>
  <c r="A10" i="11"/>
  <c r="A33" i="12"/>
  <c r="A11" i="12"/>
  <c r="N121" i="36"/>
  <c r="O122" i="36"/>
  <c r="O122" i="35"/>
  <c r="N121" i="35"/>
  <c r="N17" i="35"/>
  <c r="O18" i="35"/>
  <c r="B35" i="26"/>
  <c r="A51" i="15"/>
  <c r="A24" i="15"/>
  <c r="A23" i="21"/>
  <c r="A7" i="2"/>
  <c r="A21" i="19"/>
  <c r="A22" i="20"/>
  <c r="A29" i="23"/>
  <c r="A29" i="22"/>
  <c r="A30" i="24"/>
  <c r="B31" i="4"/>
  <c r="A31" i="25"/>
  <c r="B32" i="3"/>
  <c r="I20" i="1" l="1"/>
  <c r="B25" i="18"/>
  <c r="A17" i="1"/>
  <c r="N17" i="36"/>
  <c r="O18" i="36"/>
  <c r="A8" i="10"/>
  <c r="A10" i="12"/>
  <c r="A12" i="13"/>
  <c r="A9" i="11"/>
  <c r="N122" i="36"/>
  <c r="O123" i="36"/>
  <c r="N18" i="35"/>
  <c r="O19" i="35"/>
  <c r="O123" i="35"/>
  <c r="N122" i="35"/>
  <c r="B36" i="26"/>
  <c r="A6" i="2"/>
  <c r="A20" i="19"/>
  <c r="A22" i="21"/>
  <c r="A50" i="15"/>
  <c r="A23" i="15"/>
  <c r="A21" i="20"/>
  <c r="A32" i="25"/>
  <c r="A31" i="24"/>
  <c r="B32" i="4"/>
  <c r="A30" i="23"/>
  <c r="A30" i="22"/>
  <c r="B33" i="3"/>
  <c r="I19" i="1" l="1"/>
  <c r="B24" i="18"/>
  <c r="A16" i="1"/>
  <c r="O19" i="36"/>
  <c r="N18" i="36"/>
  <c r="A7" i="10"/>
  <c r="A8" i="11"/>
  <c r="A9" i="12"/>
  <c r="A11" i="13"/>
  <c r="N123" i="36"/>
  <c r="O124" i="36"/>
  <c r="N123" i="35"/>
  <c r="O124" i="35"/>
  <c r="N19" i="35"/>
  <c r="O20" i="35"/>
  <c r="B37" i="26"/>
  <c r="A20" i="20"/>
  <c r="A21" i="21"/>
  <c r="A19" i="19"/>
  <c r="A22" i="15"/>
  <c r="A49" i="15"/>
  <c r="A5" i="2"/>
  <c r="B33" i="4"/>
  <c r="A32" i="24"/>
  <c r="A31" i="22"/>
  <c r="A31" i="23"/>
  <c r="A33" i="25"/>
  <c r="B34" i="3"/>
  <c r="B23" i="18" l="1"/>
  <c r="I18" i="1"/>
  <c r="A15" i="1"/>
  <c r="N19" i="36"/>
  <c r="O20" i="36"/>
  <c r="A6" i="10"/>
  <c r="A7" i="11"/>
  <c r="A8" i="12"/>
  <c r="A10" i="13"/>
  <c r="N124" i="36"/>
  <c r="O125" i="36"/>
  <c r="O21" i="35"/>
  <c r="N20" i="35"/>
  <c r="O125" i="35"/>
  <c r="N124" i="35"/>
  <c r="B38" i="26"/>
  <c r="B39" i="26" s="1"/>
  <c r="A20" i="21"/>
  <c r="A18" i="19"/>
  <c r="A48" i="15"/>
  <c r="A21" i="15"/>
  <c r="A19" i="20"/>
  <c r="B34" i="4"/>
  <c r="A33" i="24"/>
  <c r="A32" i="22"/>
  <c r="A34" i="25"/>
  <c r="A32" i="23"/>
  <c r="B35" i="3"/>
  <c r="B40" i="26" l="1"/>
  <c r="B22" i="18"/>
  <c r="I17" i="1"/>
  <c r="A14" i="1"/>
  <c r="O21" i="36"/>
  <c r="N20" i="36"/>
  <c r="A5" i="10"/>
  <c r="A6" i="11"/>
  <c r="A9" i="13"/>
  <c r="A7" i="12"/>
  <c r="N125" i="36"/>
  <c r="O126" i="36"/>
  <c r="O127" i="36" s="1"/>
  <c r="O126" i="35"/>
  <c r="N125" i="35"/>
  <c r="O22" i="35"/>
  <c r="N21" i="35"/>
  <c r="A47" i="15"/>
  <c r="A20" i="15"/>
  <c r="A19" i="21"/>
  <c r="A18" i="20"/>
  <c r="A17" i="19"/>
  <c r="A34" i="24"/>
  <c r="A35" i="25"/>
  <c r="B35" i="4"/>
  <c r="A33" i="23"/>
  <c r="A33" i="22"/>
  <c r="B36" i="3"/>
  <c r="I44" i="26" l="1"/>
  <c r="O128" i="36"/>
  <c r="N127" i="36"/>
  <c r="A22" i="14"/>
  <c r="B21" i="18"/>
  <c r="I16" i="1"/>
  <c r="A13" i="1"/>
  <c r="O22" i="36"/>
  <c r="N21" i="36"/>
  <c r="A6" i="12"/>
  <c r="A8" i="13"/>
  <c r="A5" i="11"/>
  <c r="N126" i="36"/>
  <c r="N22" i="35"/>
  <c r="O23" i="35"/>
  <c r="O127" i="35"/>
  <c r="N126" i="35"/>
  <c r="A17" i="20"/>
  <c r="A18" i="21"/>
  <c r="A46" i="15"/>
  <c r="A19" i="15"/>
  <c r="A16" i="19"/>
  <c r="A34" i="23"/>
  <c r="B36" i="4"/>
  <c r="A34" i="22"/>
  <c r="A36" i="25"/>
  <c r="A35" i="24"/>
  <c r="B37" i="3"/>
  <c r="B38" i="3" l="1"/>
  <c r="B42" i="27"/>
  <c r="I45" i="26"/>
  <c r="O129" i="36"/>
  <c r="N128" i="36"/>
  <c r="A21" i="14"/>
  <c r="A21" i="17"/>
  <c r="B20" i="18"/>
  <c r="I15" i="1"/>
  <c r="A12" i="1"/>
  <c r="O23" i="36"/>
  <c r="N22" i="36"/>
  <c r="A7" i="13"/>
  <c r="A5" i="12"/>
  <c r="O128" i="35"/>
  <c r="N127" i="35"/>
  <c r="N23" i="35"/>
  <c r="O24" i="35"/>
  <c r="A15" i="19"/>
  <c r="A45" i="15"/>
  <c r="A18" i="15"/>
  <c r="A17" i="21"/>
  <c r="A16" i="20"/>
  <c r="A35" i="23"/>
  <c r="A37" i="25"/>
  <c r="A35" i="22"/>
  <c r="A36" i="24"/>
  <c r="B37" i="4"/>
  <c r="B39" i="3" l="1"/>
  <c r="A20" i="14"/>
  <c r="A19" i="14" s="1"/>
  <c r="O130" i="36"/>
  <c r="N129" i="36"/>
  <c r="B19" i="18"/>
  <c r="I14" i="1"/>
  <c r="A11" i="1"/>
  <c r="N23" i="36"/>
  <c r="O24" i="36"/>
  <c r="A6" i="13"/>
  <c r="A20" i="17"/>
  <c r="N24" i="35"/>
  <c r="O25" i="35"/>
  <c r="N128" i="35"/>
  <c r="O129" i="35"/>
  <c r="A15" i="20"/>
  <c r="A44" i="15"/>
  <c r="A17" i="15"/>
  <c r="A16" i="21"/>
  <c r="A14" i="19"/>
  <c r="B38" i="4"/>
  <c r="A37" i="24"/>
  <c r="A38" i="25"/>
  <c r="A36" i="23"/>
  <c r="A36" i="22"/>
  <c r="B40" i="3" l="1"/>
  <c r="O130" i="35"/>
  <c r="N130" i="36"/>
  <c r="B18" i="18"/>
  <c r="I13" i="1"/>
  <c r="A10" i="1"/>
  <c r="O25" i="36"/>
  <c r="N24" i="36"/>
  <c r="A19" i="17"/>
  <c r="A18" i="14"/>
  <c r="A5" i="13"/>
  <c r="N129" i="35"/>
  <c r="N25" i="35"/>
  <c r="O26" i="35"/>
  <c r="A13" i="19"/>
  <c r="A14" i="20"/>
  <c r="A43" i="15"/>
  <c r="A16" i="15"/>
  <c r="A15" i="21"/>
  <c r="A39" i="25"/>
  <c r="A37" i="23"/>
  <c r="A37" i="22"/>
  <c r="B39" i="4"/>
  <c r="A38" i="24"/>
  <c r="B41" i="3" l="1"/>
  <c r="O131" i="35"/>
  <c r="N130" i="35"/>
  <c r="B17" i="18"/>
  <c r="I12" i="1"/>
  <c r="A9" i="1"/>
  <c r="N25" i="36"/>
  <c r="O26" i="36"/>
  <c r="A18" i="17"/>
  <c r="A17" i="14"/>
  <c r="O27" i="35"/>
  <c r="N26" i="35"/>
  <c r="A14" i="21"/>
  <c r="A15" i="15"/>
  <c r="A42" i="15"/>
  <c r="A13" i="20"/>
  <c r="A12" i="19"/>
  <c r="A40" i="25"/>
  <c r="A38" i="22"/>
  <c r="A38" i="23"/>
  <c r="B40" i="4"/>
  <c r="A39" i="24"/>
  <c r="B42" i="3" l="1"/>
  <c r="A41" i="25"/>
  <c r="B41" i="4"/>
  <c r="B42" i="4" s="1"/>
  <c r="N131" i="35"/>
  <c r="O132" i="35"/>
  <c r="B16" i="18"/>
  <c r="I11" i="1"/>
  <c r="A8" i="1"/>
  <c r="O27" i="36"/>
  <c r="N26" i="36"/>
  <c r="A17" i="17"/>
  <c r="A16" i="14"/>
  <c r="O28" i="35"/>
  <c r="N27" i="35"/>
  <c r="A12" i="20"/>
  <c r="A41" i="15"/>
  <c r="A14" i="15"/>
  <c r="A40" i="15" s="1"/>
  <c r="A13" i="21"/>
  <c r="A11" i="19"/>
  <c r="A39" i="22"/>
  <c r="A40" i="24"/>
  <c r="A39" i="23"/>
  <c r="B43" i="3" l="1"/>
  <c r="B43" i="4"/>
  <c r="A42" i="25"/>
  <c r="A40" i="23"/>
  <c r="A41" i="24"/>
  <c r="A40" i="22"/>
  <c r="O133" i="35"/>
  <c r="N132" i="35"/>
  <c r="A10" i="19"/>
  <c r="B15" i="18"/>
  <c r="I10" i="1"/>
  <c r="A7" i="1"/>
  <c r="A43" i="25"/>
  <c r="A42" i="24"/>
  <c r="A41" i="23"/>
  <c r="O28" i="36"/>
  <c r="N27" i="36"/>
  <c r="A15" i="14"/>
  <c r="A16" i="17"/>
  <c r="O29" i="35"/>
  <c r="N28" i="35"/>
  <c r="A11" i="20"/>
  <c r="A12" i="21"/>
  <c r="A13" i="15"/>
  <c r="A39" i="15" s="1"/>
  <c r="A41" i="22"/>
  <c r="B44" i="3" l="1"/>
  <c r="B44" i="4"/>
  <c r="A43" i="24"/>
  <c r="A42" i="23"/>
  <c r="A42" i="22"/>
  <c r="D42" i="22" s="1"/>
  <c r="A44" i="25"/>
  <c r="N133" i="35"/>
  <c r="O134" i="35"/>
  <c r="O139" i="36"/>
  <c r="A9" i="19"/>
  <c r="B14" i="18"/>
  <c r="I9" i="1"/>
  <c r="A6" i="1"/>
  <c r="O29" i="36"/>
  <c r="N28" i="36"/>
  <c r="A14" i="14"/>
  <c r="A15" i="17"/>
  <c r="O30" i="35"/>
  <c r="N29" i="35"/>
  <c r="A11" i="21"/>
  <c r="A10" i="21" s="1"/>
  <c r="A9" i="21" s="1"/>
  <c r="A8" i="21" s="1"/>
  <c r="A7" i="21" s="1"/>
  <c r="A6" i="21" s="1"/>
  <c r="A5" i="21" s="1"/>
  <c r="A10" i="20"/>
  <c r="A12" i="15"/>
  <c r="A38" i="15" s="1"/>
  <c r="B45" i="3" l="1"/>
  <c r="B45" i="4"/>
  <c r="A44" i="22" s="1"/>
  <c r="A44" i="24"/>
  <c r="A43" i="23"/>
  <c r="A43" i="22"/>
  <c r="A45" i="25"/>
  <c r="N134" i="35"/>
  <c r="O135" i="35"/>
  <c r="O140" i="36"/>
  <c r="N139" i="36"/>
  <c r="A9" i="20"/>
  <c r="A8" i="20" s="1"/>
  <c r="A7" i="20" s="1"/>
  <c r="A6" i="20" s="1"/>
  <c r="A5" i="20" s="1"/>
  <c r="A8" i="19"/>
  <c r="A7" i="19" s="1"/>
  <c r="A6" i="19" s="1"/>
  <c r="A5" i="19" s="1"/>
  <c r="B13" i="18"/>
  <c r="I8" i="1"/>
  <c r="A46" i="22"/>
  <c r="O30" i="36"/>
  <c r="N29" i="36"/>
  <c r="A14" i="17"/>
  <c r="A13" i="14"/>
  <c r="O31" i="35"/>
  <c r="N30" i="35"/>
  <c r="A11" i="15"/>
  <c r="A37" i="15" s="1"/>
  <c r="A44" i="23" l="1"/>
  <c r="A45" i="24"/>
  <c r="D43" i="22"/>
  <c r="B46" i="4"/>
  <c r="A46" i="24" s="1"/>
  <c r="O136" i="35"/>
  <c r="N135" i="35"/>
  <c r="O141" i="36"/>
  <c r="N140" i="36"/>
  <c r="B12" i="18"/>
  <c r="I7" i="1"/>
  <c r="A46" i="23"/>
  <c r="A47" i="24"/>
  <c r="N30" i="36"/>
  <c r="O31" i="36"/>
  <c r="A13" i="17"/>
  <c r="A12" i="14"/>
  <c r="O32" i="35"/>
  <c r="N31" i="35"/>
  <c r="A10" i="15"/>
  <c r="A36" i="15" s="1"/>
  <c r="C44" i="24" l="1"/>
  <c r="A45" i="23"/>
  <c r="A45" i="22"/>
  <c r="O137" i="35"/>
  <c r="N136" i="35"/>
  <c r="O142" i="36"/>
  <c r="N141" i="36"/>
  <c r="A9" i="15"/>
  <c r="A35" i="15" s="1"/>
  <c r="I6" i="1"/>
  <c r="E47" i="24"/>
  <c r="C8" i="25"/>
  <c r="N31" i="36"/>
  <c r="O32" i="36"/>
  <c r="A11" i="14"/>
  <c r="A12" i="17"/>
  <c r="A11" i="17" s="1"/>
  <c r="A10" i="17" s="1"/>
  <c r="A9" i="17" s="1"/>
  <c r="A8" i="17" s="1"/>
  <c r="A7" i="17" s="1"/>
  <c r="A6" i="17" s="1"/>
  <c r="A5" i="17" s="1"/>
  <c r="N32" i="35"/>
  <c r="O33" i="35"/>
  <c r="A8" i="15" l="1"/>
  <c r="A34" i="15" s="1"/>
  <c r="O138" i="35"/>
  <c r="N137" i="35"/>
  <c r="N142" i="36"/>
  <c r="O143" i="36"/>
  <c r="O33" i="36"/>
  <c r="N32" i="36"/>
  <c r="A10" i="14"/>
  <c r="A9" i="14" s="1"/>
  <c r="A8" i="14" s="1"/>
  <c r="A7" i="14" s="1"/>
  <c r="A6" i="14" s="1"/>
  <c r="A5" i="14" s="1"/>
  <c r="O34" i="35"/>
  <c r="N33" i="35"/>
  <c r="A7" i="15" l="1"/>
  <c r="O139" i="35"/>
  <c r="N138" i="35"/>
  <c r="O144" i="36"/>
  <c r="N143" i="36"/>
  <c r="O34" i="36"/>
  <c r="N33" i="36"/>
  <c r="N34" i="35"/>
  <c r="O35" i="35"/>
  <c r="A6" i="15" l="1"/>
  <c r="A33" i="15"/>
  <c r="O140" i="35"/>
  <c r="N139" i="35"/>
  <c r="O145" i="36"/>
  <c r="N144" i="36"/>
  <c r="O35" i="36"/>
  <c r="N34" i="36"/>
  <c r="N35" i="35"/>
  <c r="O36" i="35"/>
  <c r="A5" i="15" l="1"/>
  <c r="A31" i="15" s="1"/>
  <c r="A32" i="15"/>
  <c r="O141" i="35"/>
  <c r="N140" i="35"/>
  <c r="O146" i="36"/>
  <c r="N145" i="36"/>
  <c r="N35" i="36"/>
  <c r="O36" i="36"/>
  <c r="O37" i="35"/>
  <c r="N36" i="35"/>
  <c r="O142" i="35" l="1"/>
  <c r="N141" i="35"/>
  <c r="N146" i="36"/>
  <c r="O147" i="36"/>
  <c r="N36" i="36"/>
  <c r="O37" i="36"/>
  <c r="O38" i="35"/>
  <c r="N37" i="35"/>
  <c r="O143" i="35" l="1"/>
  <c r="N142" i="35"/>
  <c r="O148" i="36"/>
  <c r="N148" i="36" s="1"/>
  <c r="N147" i="36"/>
  <c r="N37" i="36"/>
  <c r="O38" i="36"/>
  <c r="O39" i="35"/>
  <c r="N38" i="35"/>
  <c r="O144" i="35" l="1"/>
  <c r="N143" i="35"/>
  <c r="O39" i="36"/>
  <c r="N38" i="36"/>
  <c r="N39" i="35"/>
  <c r="O40" i="35"/>
  <c r="O145" i="35" l="1"/>
  <c r="N144" i="35"/>
  <c r="N39" i="36"/>
  <c r="O40" i="36"/>
  <c r="O41" i="35"/>
  <c r="N40" i="35"/>
  <c r="O146" i="35" l="1"/>
  <c r="N145" i="35"/>
  <c r="N40" i="36"/>
  <c r="O41" i="36"/>
  <c r="O42" i="35"/>
  <c r="N41" i="35"/>
  <c r="N146" i="35" l="1"/>
  <c r="O42" i="36"/>
  <c r="N41" i="36"/>
  <c r="N42" i="35"/>
  <c r="O43" i="35"/>
  <c r="O43" i="36" l="1"/>
  <c r="N42" i="36"/>
  <c r="O44" i="35"/>
  <c r="N43" i="35"/>
  <c r="N43" i="36" l="1"/>
  <c r="O44" i="36"/>
  <c r="N44" i="35"/>
  <c r="O45" i="35"/>
  <c r="N44" i="36" l="1"/>
  <c r="O45" i="36"/>
  <c r="O46" i="35"/>
  <c r="N45" i="35"/>
  <c r="N45" i="36" l="1"/>
  <c r="O46" i="36"/>
  <c r="O47" i="35"/>
  <c r="N46" i="35"/>
  <c r="N46" i="36" l="1"/>
  <c r="O47" i="36"/>
  <c r="O48" i="35"/>
  <c r="N47" i="35"/>
  <c r="O48" i="36" l="1"/>
  <c r="N47" i="36"/>
  <c r="N48" i="35"/>
  <c r="O49" i="35"/>
  <c r="O49" i="36" l="1"/>
  <c r="N48" i="36"/>
  <c r="O50" i="35"/>
  <c r="N49" i="35"/>
  <c r="O50" i="36" l="1"/>
  <c r="N49" i="36"/>
  <c r="O51" i="35"/>
  <c r="N50" i="35"/>
  <c r="N50" i="36" l="1"/>
  <c r="O51" i="36"/>
  <c r="N51" i="35"/>
  <c r="O52" i="35"/>
  <c r="O52" i="36" l="1"/>
  <c r="N51" i="36"/>
  <c r="O53" i="35"/>
  <c r="N52" i="35"/>
  <c r="N52" i="36" l="1"/>
  <c r="O53" i="36"/>
  <c r="O54" i="35"/>
  <c r="N53" i="35"/>
  <c r="N53" i="36" l="1"/>
  <c r="O54" i="36"/>
  <c r="N54" i="35"/>
  <c r="O55" i="35"/>
  <c r="N54" i="36" l="1"/>
  <c r="O55" i="36"/>
  <c r="O56" i="35"/>
  <c r="N55" i="35"/>
  <c r="N55" i="36" l="1"/>
  <c r="O56" i="36"/>
  <c r="O57" i="35"/>
  <c r="N56" i="35"/>
  <c r="N56" i="36" l="1"/>
  <c r="O57" i="36"/>
  <c r="N57" i="35"/>
  <c r="O58" i="35"/>
  <c r="N57" i="36" l="1"/>
  <c r="O58" i="36"/>
  <c r="O59" i="35"/>
  <c r="N58" i="35"/>
  <c r="O59" i="36" l="1"/>
  <c r="N58" i="36"/>
  <c r="O60" i="35"/>
  <c r="N59" i="35"/>
  <c r="N59" i="36" l="1"/>
  <c r="O60" i="36"/>
  <c r="N60" i="35"/>
  <c r="O61" i="35"/>
  <c r="O61" i="36" l="1"/>
  <c r="N60" i="36"/>
  <c r="O62" i="35"/>
  <c r="N61" i="35"/>
  <c r="O62" i="36" l="1"/>
  <c r="N61" i="36"/>
  <c r="N62" i="35"/>
  <c r="O63" i="35"/>
  <c r="N62" i="36" l="1"/>
  <c r="O63" i="36"/>
  <c r="O64" i="35"/>
  <c r="N63" i="35"/>
  <c r="O64" i="36" l="1"/>
  <c r="N63" i="36"/>
  <c r="N64" i="35"/>
  <c r="O65" i="35"/>
  <c r="N64" i="36" l="1"/>
  <c r="O65" i="36"/>
  <c r="O66" i="35"/>
  <c r="N65" i="35"/>
  <c r="N65" i="36" l="1"/>
  <c r="O66" i="36"/>
  <c r="O67" i="35"/>
  <c r="N66" i="35"/>
  <c r="N66" i="36" l="1"/>
  <c r="O67" i="36"/>
  <c r="O68" i="35"/>
  <c r="N67" i="35"/>
  <c r="N67" i="36" l="1"/>
  <c r="O68" i="36"/>
  <c r="O69" i="35"/>
  <c r="N68" i="35"/>
  <c r="N68" i="36" l="1"/>
  <c r="O69" i="36"/>
  <c r="N69" i="35"/>
  <c r="O70" i="35"/>
  <c r="N69" i="36" l="1"/>
  <c r="O70" i="36"/>
  <c r="O71" i="35"/>
  <c r="N70" i="35"/>
  <c r="N70" i="36" l="1"/>
  <c r="O71" i="36"/>
  <c r="O72" i="35"/>
  <c r="N71" i="35"/>
  <c r="N71" i="36" l="1"/>
  <c r="O72" i="36"/>
  <c r="O73" i="35"/>
  <c r="N72" i="35"/>
  <c r="N72" i="36" l="1"/>
  <c r="O73" i="36"/>
  <c r="O74" i="35"/>
  <c r="N73" i="35"/>
  <c r="O74" i="36" l="1"/>
  <c r="N73" i="36"/>
  <c r="O75" i="35"/>
  <c r="N74" i="35"/>
  <c r="N74" i="36" l="1"/>
  <c r="O75" i="36"/>
  <c r="O76" i="35"/>
  <c r="N75" i="35"/>
  <c r="N75" i="36" l="1"/>
  <c r="O76" i="36"/>
  <c r="O77" i="35"/>
  <c r="N76" i="35"/>
  <c r="O77" i="36" l="1"/>
  <c r="N76" i="36"/>
  <c r="O78" i="35"/>
  <c r="N77" i="35"/>
  <c r="N77" i="36" l="1"/>
  <c r="O78" i="36"/>
  <c r="O79" i="35"/>
  <c r="N78" i="35"/>
  <c r="N78" i="36" l="1"/>
  <c r="O79" i="36"/>
  <c r="O80" i="35"/>
  <c r="N79" i="35"/>
  <c r="N79" i="36" l="1"/>
  <c r="O80" i="36"/>
  <c r="O81" i="35"/>
  <c r="N80" i="35"/>
  <c r="N80" i="36" l="1"/>
  <c r="O81" i="36"/>
  <c r="O82" i="35"/>
  <c r="N81" i="35"/>
  <c r="O82" i="36" l="1"/>
  <c r="N81" i="36"/>
  <c r="O83" i="35"/>
  <c r="N82" i="35"/>
  <c r="O83" i="36" l="1"/>
  <c r="N82" i="36"/>
  <c r="O84" i="35"/>
  <c r="N83" i="35"/>
  <c r="N83" i="36" l="1"/>
  <c r="O84" i="36"/>
  <c r="O85" i="35"/>
  <c r="N84" i="35"/>
  <c r="O85" i="36" l="1"/>
  <c r="N84" i="36"/>
  <c r="O86" i="35"/>
  <c r="N85" i="35"/>
  <c r="O86" i="36" l="1"/>
  <c r="N85" i="36"/>
  <c r="N86" i="35"/>
  <c r="O87" i="35"/>
  <c r="N86" i="36" l="1"/>
  <c r="O87" i="36"/>
  <c r="O88" i="35"/>
  <c r="N87" i="35"/>
  <c r="N87" i="36" l="1"/>
  <c r="O88" i="36"/>
  <c r="N88" i="35"/>
  <c r="O89" i="35"/>
  <c r="O89" i="36" l="1"/>
  <c r="N88" i="36"/>
  <c r="O90" i="35"/>
  <c r="N89" i="35"/>
  <c r="O90" i="36" l="1"/>
  <c r="N89" i="36"/>
  <c r="O91" i="35"/>
  <c r="N90" i="35"/>
  <c r="N90" i="36" l="1"/>
  <c r="O91" i="36"/>
  <c r="O92" i="35"/>
  <c r="N91" i="35"/>
  <c r="O92" i="36" l="1"/>
  <c r="N91" i="36"/>
  <c r="O93" i="35"/>
  <c r="N92" i="35"/>
  <c r="N92" i="36" l="1"/>
  <c r="O93" i="36"/>
  <c r="O94" i="35"/>
  <c r="N93" i="35"/>
  <c r="O94" i="36" l="1"/>
  <c r="N93" i="36"/>
  <c r="N94" i="35"/>
  <c r="O95" i="35"/>
  <c r="N94" i="36" l="1"/>
  <c r="O96" i="35"/>
  <c r="N95" i="35"/>
  <c r="N96" i="35" l="1"/>
  <c r="O97" i="35"/>
  <c r="N97" i="35" s="1"/>
  <c r="D25" i="22" l="1"/>
  <c r="C27" i="24"/>
  <c r="D22" i="22"/>
  <c r="D11" i="22"/>
  <c r="D14" i="22"/>
  <c r="D13" i="22"/>
  <c r="D41" i="22"/>
  <c r="D18" i="22"/>
  <c r="C24" i="24"/>
  <c r="D32" i="22"/>
  <c r="D37" i="22"/>
  <c r="D20" i="22"/>
  <c r="D38" i="22"/>
  <c r="D17" i="22"/>
  <c r="D27" i="22"/>
  <c r="D9" i="22"/>
  <c r="D29" i="22"/>
  <c r="D34" i="22"/>
  <c r="D39" i="22"/>
  <c r="D10" i="22"/>
  <c r="D15" i="22"/>
  <c r="D33" i="22"/>
  <c r="D23" i="22"/>
  <c r="D8" i="22"/>
  <c r="D24" i="22"/>
  <c r="D36" i="22"/>
  <c r="D40" i="22"/>
  <c r="D12" i="22"/>
  <c r="D26" i="22"/>
  <c r="D31" i="22"/>
  <c r="D28" i="22"/>
  <c r="D35" i="22"/>
  <c r="D19" i="22"/>
  <c r="D30" i="22"/>
  <c r="D16" i="22"/>
  <c r="D21" i="22"/>
  <c r="C12" i="24" l="1"/>
  <c r="C15" i="24"/>
  <c r="C32" i="24"/>
  <c r="C20" i="24"/>
  <c r="C31" i="24"/>
  <c r="C40" i="24"/>
  <c r="C11" i="24"/>
  <c r="C28" i="24"/>
  <c r="C29" i="24"/>
  <c r="C34" i="24"/>
  <c r="C19" i="24"/>
  <c r="C21" i="24"/>
  <c r="C39" i="24"/>
  <c r="C13" i="24"/>
  <c r="C26" i="24"/>
  <c r="C22" i="24"/>
  <c r="C25" i="24"/>
  <c r="C17" i="24"/>
  <c r="C36" i="24"/>
  <c r="C37" i="24"/>
  <c r="C30" i="24"/>
  <c r="C18" i="24"/>
  <c r="C9" i="24"/>
  <c r="C23" i="24"/>
  <c r="C33" i="24"/>
  <c r="C14" i="24"/>
  <c r="C16" i="24"/>
  <c r="C10" i="24"/>
  <c r="C38" i="24"/>
  <c r="B47" i="18" l="1"/>
  <c r="I41" i="1"/>
  <c r="D44" i="22" l="1"/>
  <c r="D45" i="22" l="1"/>
  <c r="D46" i="22" l="1"/>
  <c r="B46" i="18" l="1"/>
  <c r="I40" i="1"/>
  <c r="L47" i="29" l="1"/>
  <c r="B40" i="13" l="1"/>
  <c r="C40" i="13" l="1"/>
  <c r="C32" i="13" s="1"/>
  <c r="D44" i="3" s="1"/>
  <c r="B32" i="13"/>
  <c r="D45" i="3" s="1"/>
  <c r="D40" i="13" l="1"/>
  <c r="D32" i="13" s="1"/>
  <c r="D43" i="3" s="1"/>
  <c r="E40" i="13" l="1"/>
  <c r="E32" i="13" s="1"/>
  <c r="D42" i="3" s="1"/>
  <c r="F40" i="13" l="1"/>
  <c r="F32" i="13" s="1"/>
  <c r="D41" i="3" s="1"/>
  <c r="G40" i="13" l="1"/>
  <c r="G32" i="13" l="1"/>
  <c r="D40" i="3" s="1"/>
  <c r="C46" i="24" l="1"/>
  <c r="C45" i="24"/>
  <c r="C35" i="24" l="1"/>
  <c r="I27" i="25" l="1"/>
  <c r="I26" i="25" l="1"/>
  <c r="I28" i="25"/>
  <c r="I29" i="25" l="1"/>
  <c r="I25" i="25"/>
  <c r="I30" i="25" l="1"/>
  <c r="I24" i="25"/>
  <c r="I23" i="25" l="1"/>
  <c r="I31" i="25"/>
  <c r="I22" i="25" l="1"/>
  <c r="I32" i="25"/>
  <c r="I21" i="25" l="1"/>
  <c r="I20" i="25"/>
  <c r="I33" i="25"/>
  <c r="I34" i="25" l="1"/>
  <c r="I19" i="25"/>
  <c r="I35" i="25" l="1"/>
  <c r="I36" i="25" l="1"/>
  <c r="I37" i="25" l="1"/>
  <c r="I38" i="25" l="1"/>
  <c r="I39" i="25" l="1"/>
  <c r="I40" i="25"/>
  <c r="I41" i="25"/>
  <c r="I42" i="25" l="1"/>
  <c r="I43" i="25" l="1"/>
  <c r="G45" i="23" l="1"/>
  <c r="E46" i="24" s="1"/>
  <c r="G46" i="24" s="1"/>
  <c r="C44" i="25"/>
  <c r="C45" i="25"/>
  <c r="C43" i="25"/>
  <c r="S43" i="25" s="1"/>
  <c r="G42" i="29" l="1"/>
  <c r="G42" i="7"/>
  <c r="C42" i="25"/>
  <c r="S42" i="25" s="1"/>
  <c r="C41" i="24"/>
  <c r="C43" i="24"/>
  <c r="C42" i="24"/>
  <c r="G41" i="29" l="1"/>
  <c r="G41" i="7"/>
  <c r="C41" i="25"/>
  <c r="S41" i="25" s="1"/>
  <c r="G40" i="29" l="1"/>
  <c r="G40" i="7"/>
  <c r="C40" i="25"/>
  <c r="S40" i="25" s="1"/>
  <c r="G39" i="29" l="1"/>
  <c r="G39" i="7"/>
  <c r="C47" i="24"/>
  <c r="G47" i="24" s="1"/>
  <c r="I45" i="24" s="1"/>
  <c r="C39" i="25"/>
  <c r="S39" i="25" s="1"/>
  <c r="G38" i="29" l="1"/>
  <c r="G38" i="7"/>
  <c r="C38" i="25"/>
  <c r="S38" i="25" s="1"/>
  <c r="G37" i="7" l="1"/>
  <c r="G37" i="29"/>
  <c r="C37" i="25"/>
  <c r="S37" i="25" s="1"/>
  <c r="G36" i="29" l="1"/>
  <c r="G36" i="7"/>
  <c r="C36" i="25"/>
  <c r="S36" i="25" s="1"/>
  <c r="G35" i="7" l="1"/>
  <c r="G35" i="29"/>
  <c r="C35" i="25"/>
  <c r="S35" i="25" s="1"/>
  <c r="G34" i="7" l="1"/>
  <c r="G34" i="29"/>
  <c r="C34" i="25"/>
  <c r="S34" i="25" s="1"/>
  <c r="G33" i="7" l="1"/>
  <c r="G33" i="29"/>
  <c r="C33" i="25"/>
  <c r="S33" i="25" s="1"/>
  <c r="G32" i="7" l="1"/>
  <c r="G32" i="29"/>
  <c r="C32" i="25"/>
  <c r="S32" i="25" s="1"/>
  <c r="G31" i="29" l="1"/>
  <c r="G31" i="7"/>
  <c r="C31" i="25"/>
  <c r="S31" i="25" s="1"/>
  <c r="G30" i="7" l="1"/>
  <c r="G30" i="29"/>
  <c r="C30" i="25"/>
  <c r="S30" i="25" s="1"/>
  <c r="G29" i="7" l="1"/>
  <c r="G29" i="29"/>
  <c r="C29" i="25"/>
  <c r="S29" i="25" s="1"/>
  <c r="G28" i="7" l="1"/>
  <c r="G28" i="29"/>
  <c r="C28" i="25"/>
  <c r="S28" i="25" s="1"/>
  <c r="G27" i="7" l="1"/>
  <c r="G27" i="29"/>
  <c r="C27" i="25"/>
  <c r="S27" i="25" s="1"/>
  <c r="G26" i="7" l="1"/>
  <c r="G26" i="29"/>
  <c r="C26" i="25"/>
  <c r="S26" i="25" s="1"/>
  <c r="G25" i="29" l="1"/>
  <c r="G25" i="7"/>
  <c r="C25" i="25"/>
  <c r="S25" i="25" s="1"/>
  <c r="G24" i="29" l="1"/>
  <c r="G24" i="7"/>
  <c r="C24" i="25"/>
  <c r="S24" i="25" s="1"/>
  <c r="G23" i="29" l="1"/>
  <c r="G23" i="7"/>
  <c r="C23" i="25"/>
  <c r="S23" i="25" s="1"/>
  <c r="G22" i="7" l="1"/>
  <c r="G22" i="29"/>
  <c r="C22" i="25"/>
  <c r="S22" i="25" s="1"/>
  <c r="G21" i="29" l="1"/>
  <c r="G21" i="7"/>
  <c r="C21" i="25"/>
  <c r="S21" i="25" s="1"/>
  <c r="G20" i="7" l="1"/>
  <c r="G20" i="29"/>
  <c r="C20" i="25"/>
  <c r="S20" i="25" s="1"/>
  <c r="G19" i="29" l="1"/>
  <c r="G19" i="7"/>
  <c r="C19" i="25"/>
  <c r="S19" i="25" s="1"/>
  <c r="G18" i="7" l="1"/>
  <c r="G18" i="29"/>
  <c r="C18" i="25"/>
  <c r="S18" i="25" s="1"/>
  <c r="G17" i="7" l="1"/>
  <c r="G17" i="29"/>
  <c r="C17" i="25"/>
  <c r="S17" i="25" s="1"/>
  <c r="G16" i="7" l="1"/>
  <c r="G16" i="29"/>
  <c r="C16" i="25"/>
  <c r="S16" i="25" s="1"/>
  <c r="G15" i="29" l="1"/>
  <c r="G15" i="7"/>
  <c r="C15" i="25"/>
  <c r="S15" i="25" s="1"/>
  <c r="G14" i="7" l="1"/>
  <c r="G14" i="29"/>
  <c r="C14" i="25"/>
  <c r="S14" i="25" s="1"/>
  <c r="G13" i="7" l="1"/>
  <c r="G13" i="29"/>
  <c r="C13" i="25"/>
  <c r="S13" i="25" s="1"/>
  <c r="G12" i="29" l="1"/>
  <c r="G12" i="7"/>
  <c r="C12" i="25"/>
  <c r="S12" i="25" s="1"/>
  <c r="G11" i="29" l="1"/>
  <c r="G11" i="7"/>
  <c r="C11" i="25"/>
  <c r="S11" i="25" s="1"/>
  <c r="G10" i="29" l="1"/>
  <c r="G10" i="7"/>
  <c r="C10" i="25"/>
  <c r="S10" i="25" s="1"/>
  <c r="G9" i="29" l="1"/>
  <c r="G9" i="7"/>
  <c r="E44" i="7" l="1"/>
  <c r="E43" i="7"/>
  <c r="E42" i="7" l="1"/>
  <c r="E41" i="7" l="1"/>
  <c r="E40" i="7" l="1"/>
  <c r="E39" i="7" l="1"/>
  <c r="E38" i="7" l="1"/>
  <c r="E36" i="7" l="1"/>
  <c r="E37" i="7"/>
  <c r="E35" i="7"/>
  <c r="E34" i="7" l="1"/>
  <c r="E33" i="7" l="1"/>
  <c r="E32" i="7" l="1"/>
  <c r="E31" i="7" l="1"/>
  <c r="E30" i="7" l="1"/>
  <c r="E29" i="7" l="1"/>
  <c r="E28" i="7" l="1"/>
  <c r="E27" i="7" l="1"/>
  <c r="E25" i="7" l="1"/>
  <c r="E23" i="7"/>
  <c r="E26" i="7"/>
  <c r="E24" i="7"/>
  <c r="E22" i="7" l="1"/>
  <c r="E21" i="7" l="1"/>
  <c r="E20" i="7" l="1"/>
  <c r="E19" i="7" l="1"/>
  <c r="E18" i="7" l="1"/>
  <c r="E17" i="7" l="1"/>
  <c r="E16" i="7" l="1"/>
  <c r="E15" i="7" l="1"/>
  <c r="E13" i="7"/>
  <c r="E14" i="7"/>
  <c r="E12" i="7"/>
  <c r="E11" i="7" l="1"/>
  <c r="E10" i="7" l="1"/>
  <c r="E9" i="7" l="1"/>
  <c r="G47" i="16" l="1"/>
  <c r="G29" i="16" s="1"/>
  <c r="F47" i="16"/>
  <c r="F29" i="16" s="1"/>
  <c r="E47" i="16"/>
  <c r="E29" i="16" s="1"/>
  <c r="B47" i="16"/>
  <c r="B29" i="16" s="1"/>
  <c r="C47" i="16"/>
  <c r="C29" i="16" s="1"/>
  <c r="I45" i="25" l="1"/>
  <c r="S45" i="25" s="1"/>
  <c r="I44" i="25"/>
  <c r="S44" i="25" s="1"/>
  <c r="D47" i="16"/>
  <c r="D29" i="16" s="1"/>
  <c r="G43" i="7" l="1"/>
  <c r="G43" i="29"/>
  <c r="G44" i="7"/>
  <c r="G44" i="29"/>
  <c r="G20" i="23" l="1"/>
  <c r="E21" i="24" s="1"/>
  <c r="G21" i="24" s="1"/>
  <c r="G11" i="23"/>
  <c r="E12" i="24" s="1"/>
  <c r="G12" i="24" s="1"/>
  <c r="G31" i="23" l="1"/>
  <c r="E32" i="24" s="1"/>
  <c r="G32" i="24" s="1"/>
  <c r="G25" i="23"/>
  <c r="E26" i="24" s="1"/>
  <c r="G26" i="24" s="1"/>
  <c r="G16" i="23"/>
  <c r="E17" i="24" s="1"/>
  <c r="G17" i="24" s="1"/>
  <c r="G8" i="23"/>
  <c r="E9" i="24" s="1"/>
  <c r="G9" i="24" s="1"/>
  <c r="G17" i="23"/>
  <c r="E18" i="24" s="1"/>
  <c r="G18" i="24" s="1"/>
  <c r="G14" i="23"/>
  <c r="E15" i="24" s="1"/>
  <c r="G15" i="24" s="1"/>
  <c r="G15" i="23"/>
  <c r="E16" i="24" s="1"/>
  <c r="G16" i="24" s="1"/>
  <c r="G12" i="23"/>
  <c r="E13" i="24" s="1"/>
  <c r="G13" i="24" s="1"/>
  <c r="G29" i="23"/>
  <c r="E30" i="24" s="1"/>
  <c r="G30" i="24" s="1"/>
  <c r="G21" i="23"/>
  <c r="E22" i="24" s="1"/>
  <c r="G22" i="24" s="1"/>
  <c r="G28" i="23"/>
  <c r="E29" i="24" s="1"/>
  <c r="G29" i="24" s="1"/>
  <c r="G32" i="23"/>
  <c r="E33" i="24" s="1"/>
  <c r="G33" i="24" s="1"/>
  <c r="G24" i="23"/>
  <c r="E25" i="24" s="1"/>
  <c r="G25" i="24" s="1"/>
  <c r="G26" i="23"/>
  <c r="E27" i="24" s="1"/>
  <c r="G27" i="24" s="1"/>
  <c r="G13" i="23"/>
  <c r="E14" i="24" s="1"/>
  <c r="G14" i="24" s="1"/>
  <c r="G10" i="23"/>
  <c r="E11" i="24" s="1"/>
  <c r="G11" i="24" s="1"/>
  <c r="G44" i="23"/>
  <c r="E45" i="24" s="1"/>
  <c r="G45" i="24" s="1"/>
  <c r="I44" i="24" s="1"/>
  <c r="G23" i="23"/>
  <c r="E24" i="24" s="1"/>
  <c r="G24" i="24" s="1"/>
  <c r="G22" i="23"/>
  <c r="E23" i="24" s="1"/>
  <c r="G23" i="24" s="1"/>
  <c r="G18" i="23"/>
  <c r="E19" i="24" s="1"/>
  <c r="G19" i="24" s="1"/>
  <c r="G9" i="23"/>
  <c r="E10" i="24" s="1"/>
  <c r="G10" i="24" s="1"/>
  <c r="G19" i="23"/>
  <c r="E20" i="24" s="1"/>
  <c r="G20" i="24" s="1"/>
  <c r="G27" i="23"/>
  <c r="E28" i="24" s="1"/>
  <c r="G28" i="24" s="1"/>
  <c r="G30" i="23"/>
  <c r="E31" i="24" s="1"/>
  <c r="G31" i="24" s="1"/>
  <c r="E44" i="29" l="1"/>
  <c r="R26" i="14" l="1"/>
  <c r="F10" i="3" l="1"/>
  <c r="C9" i="7" s="1"/>
  <c r="I9" i="7" s="1"/>
  <c r="F11" i="3" l="1"/>
  <c r="C10" i="7" s="1"/>
  <c r="I10" i="7" s="1"/>
  <c r="P4" i="35" s="1"/>
  <c r="P3" i="35" l="1"/>
  <c r="F12" i="3"/>
  <c r="C11" i="7" s="1"/>
  <c r="I11" i="7" s="1"/>
  <c r="P7" i="35" s="1"/>
  <c r="P5" i="35"/>
  <c r="P2" i="35"/>
  <c r="P6" i="35" l="1"/>
  <c r="P8" i="35"/>
  <c r="P9" i="35"/>
  <c r="F13" i="3"/>
  <c r="C12" i="7" l="1"/>
  <c r="I12" i="7" s="1"/>
  <c r="P10" i="35" s="1"/>
  <c r="F14" i="3"/>
  <c r="P12" i="35" l="1"/>
  <c r="P13" i="35"/>
  <c r="C13" i="7"/>
  <c r="P11" i="35"/>
  <c r="F15" i="3"/>
  <c r="I13" i="7" l="1"/>
  <c r="P17" i="35" s="1"/>
  <c r="P15" i="35"/>
  <c r="C14" i="7"/>
  <c r="P14" i="35"/>
  <c r="F16" i="3"/>
  <c r="P16" i="35" l="1"/>
  <c r="I14" i="7"/>
  <c r="P19" i="35" s="1"/>
  <c r="P18" i="35"/>
  <c r="P20" i="35"/>
  <c r="C15" i="7"/>
  <c r="P21" i="35"/>
  <c r="F17" i="3"/>
  <c r="I15" i="7" l="1"/>
  <c r="P23" i="35" s="1"/>
  <c r="C16" i="7"/>
  <c r="F18" i="3"/>
  <c r="P22" i="35" l="1"/>
  <c r="P24" i="35"/>
  <c r="P25" i="35"/>
  <c r="I16" i="7"/>
  <c r="P27" i="35" s="1"/>
  <c r="C17" i="7"/>
  <c r="F19" i="3"/>
  <c r="P29" i="35" l="1"/>
  <c r="P26" i="35"/>
  <c r="I17" i="7"/>
  <c r="P30" i="35" s="1"/>
  <c r="P28" i="35"/>
  <c r="C18" i="7"/>
  <c r="F20" i="3"/>
  <c r="P31" i="35" l="1"/>
  <c r="P32" i="35"/>
  <c r="I18" i="7"/>
  <c r="P35" i="35" s="1"/>
  <c r="P33" i="35"/>
  <c r="P37" i="35"/>
  <c r="P34" i="35"/>
  <c r="C19" i="7"/>
  <c r="P36" i="35"/>
  <c r="F21" i="3"/>
  <c r="I19" i="7" l="1"/>
  <c r="P40" i="35" s="1"/>
  <c r="P41" i="35"/>
  <c r="C20" i="7"/>
  <c r="F22" i="3"/>
  <c r="P38" i="35" l="1"/>
  <c r="P39" i="35"/>
  <c r="I20" i="7"/>
  <c r="P45" i="35" s="1"/>
  <c r="C21" i="7"/>
  <c r="P42" i="35"/>
  <c r="F23" i="3"/>
  <c r="P44" i="35" l="1"/>
  <c r="P43" i="35"/>
  <c r="I21" i="7"/>
  <c r="P49" i="35" s="1"/>
  <c r="C22" i="7"/>
  <c r="F24" i="3"/>
  <c r="P47" i="35" l="1"/>
  <c r="I22" i="7"/>
  <c r="P52" i="35" s="1"/>
  <c r="P48" i="35"/>
  <c r="P46" i="35"/>
  <c r="C23" i="7"/>
  <c r="P51" i="35"/>
  <c r="F25" i="3"/>
  <c r="I23" i="7" l="1"/>
  <c r="P54" i="35" s="1"/>
  <c r="P50" i="35"/>
  <c r="P53" i="35"/>
  <c r="C24" i="7"/>
  <c r="P55" i="35"/>
  <c r="P56" i="35"/>
  <c r="P57" i="35"/>
  <c r="F26" i="3"/>
  <c r="I24" i="7" l="1"/>
  <c r="P58" i="35" s="1"/>
  <c r="C25" i="7"/>
  <c r="F27" i="3"/>
  <c r="P59" i="35" l="1"/>
  <c r="P61" i="35"/>
  <c r="I25" i="7"/>
  <c r="P62" i="35" s="1"/>
  <c r="P60" i="35"/>
  <c r="P64" i="35"/>
  <c r="P65" i="35"/>
  <c r="C26" i="7"/>
  <c r="P63" i="35"/>
  <c r="F28" i="3"/>
  <c r="I26" i="7" l="1"/>
  <c r="P67" i="35" s="1"/>
  <c r="P69" i="35"/>
  <c r="C27" i="7"/>
  <c r="F29" i="3"/>
  <c r="P66" i="35" l="1"/>
  <c r="P68" i="35"/>
  <c r="I27" i="7"/>
  <c r="P72" i="35" s="1"/>
  <c r="P73" i="35"/>
  <c r="C28" i="7"/>
  <c r="F30" i="3"/>
  <c r="P70" i="35" l="1"/>
  <c r="I28" i="7"/>
  <c r="P77" i="35" s="1"/>
  <c r="P71" i="35"/>
  <c r="C29" i="7"/>
  <c r="F31" i="3"/>
  <c r="P76" i="35" l="1"/>
  <c r="P75" i="35"/>
  <c r="I29" i="7"/>
  <c r="P78" i="35" s="1"/>
  <c r="P74" i="35"/>
  <c r="P80" i="35"/>
  <c r="C30" i="7"/>
  <c r="F32" i="3"/>
  <c r="I30" i="7" l="1"/>
  <c r="P84" i="35" s="1"/>
  <c r="P79" i="35"/>
  <c r="P81" i="35"/>
  <c r="P85" i="35"/>
  <c r="C31" i="7"/>
  <c r="P83" i="35"/>
  <c r="F33" i="3"/>
  <c r="I31" i="7" l="1"/>
  <c r="P86" i="35" s="1"/>
  <c r="P82" i="35"/>
  <c r="C32" i="7"/>
  <c r="F34" i="3"/>
  <c r="P88" i="35" l="1"/>
  <c r="P89" i="35"/>
  <c r="P87" i="35"/>
  <c r="I32" i="7"/>
  <c r="P92" i="35" s="1"/>
  <c r="C33" i="7"/>
  <c r="P90" i="35"/>
  <c r="F35" i="3"/>
  <c r="I33" i="7" l="1"/>
  <c r="P96" i="35" s="1"/>
  <c r="P93" i="35"/>
  <c r="P91" i="35"/>
  <c r="C34" i="7"/>
  <c r="F36" i="3"/>
  <c r="I34" i="7" l="1"/>
  <c r="P100" i="35" s="1"/>
  <c r="P97" i="35"/>
  <c r="P95" i="35"/>
  <c r="P94" i="35"/>
  <c r="P98" i="35"/>
  <c r="C35" i="7"/>
  <c r="I35" i="7" l="1"/>
  <c r="P105" i="35" s="1"/>
  <c r="P101" i="35"/>
  <c r="P99" i="35"/>
  <c r="P103" i="35"/>
  <c r="P104" i="35"/>
  <c r="P102" i="35"/>
  <c r="F37" i="3" l="1"/>
  <c r="F38" i="3"/>
  <c r="C37" i="7" l="1"/>
  <c r="C36" i="7"/>
  <c r="G33" i="13"/>
  <c r="E40" i="3" s="1"/>
  <c r="F39" i="3"/>
  <c r="I36" i="7" l="1"/>
  <c r="P108" i="35" s="1"/>
  <c r="I37" i="7"/>
  <c r="P106" i="35"/>
  <c r="P107" i="35"/>
  <c r="P112" i="35"/>
  <c r="P109" i="35"/>
  <c r="C38" i="7"/>
  <c r="F33" i="13"/>
  <c r="E41" i="3" s="1"/>
  <c r="F40" i="3"/>
  <c r="P111" i="35" l="1"/>
  <c r="P113" i="35"/>
  <c r="P110" i="35"/>
  <c r="I38" i="7"/>
  <c r="P116" i="35" s="1"/>
  <c r="C39" i="7"/>
  <c r="E33" i="13"/>
  <c r="E42" i="3" s="1"/>
  <c r="F41" i="3"/>
  <c r="P117" i="35" l="1"/>
  <c r="P115" i="35"/>
  <c r="P114" i="35"/>
  <c r="I39" i="7"/>
  <c r="P118" i="35" s="1"/>
  <c r="P121" i="35"/>
  <c r="C40" i="7"/>
  <c r="D33" i="13"/>
  <c r="E43" i="3" s="1"/>
  <c r="F42" i="3"/>
  <c r="R26" i="17"/>
  <c r="P119" i="35" l="1"/>
  <c r="P120" i="35"/>
  <c r="I40" i="7"/>
  <c r="P122" i="35" s="1"/>
  <c r="C41" i="7"/>
  <c r="C33" i="13"/>
  <c r="E44" i="3" s="1"/>
  <c r="F43" i="3"/>
  <c r="P125" i="35" l="1"/>
  <c r="I41" i="7"/>
  <c r="P129" i="35" s="1"/>
  <c r="P124" i="35"/>
  <c r="P123" i="35"/>
  <c r="C42" i="7"/>
  <c r="F44" i="3"/>
  <c r="B33" i="13"/>
  <c r="P126" i="35" l="1"/>
  <c r="P127" i="35"/>
  <c r="P128" i="35"/>
  <c r="E45" i="3"/>
  <c r="F45" i="3" s="1"/>
  <c r="C44" i="7" s="1"/>
  <c r="I42" i="7"/>
  <c r="P133" i="35" s="1"/>
  <c r="P130" i="35"/>
  <c r="C43" i="7"/>
  <c r="P132" i="35"/>
  <c r="P131" i="35" l="1"/>
  <c r="I44" i="7"/>
  <c r="I43" i="7"/>
  <c r="P139" i="35"/>
  <c r="P140" i="35"/>
  <c r="P134" i="35"/>
  <c r="P136" i="35"/>
  <c r="P135" i="35"/>
  <c r="I47" i="7" l="1"/>
  <c r="Q146" i="35" s="1"/>
  <c r="I48" i="7"/>
  <c r="I49" i="7" s="1"/>
  <c r="P137" i="35"/>
  <c r="P138" i="35"/>
  <c r="P141" i="35"/>
  <c r="P142" i="35" l="1"/>
  <c r="Q142" i="35" s="1"/>
  <c r="Q143" i="35" s="1"/>
  <c r="Q150" i="35"/>
  <c r="Q145" i="35" l="1"/>
  <c r="Q144" i="35"/>
  <c r="Q148" i="35"/>
  <c r="Q149" i="35"/>
  <c r="Q147" i="35"/>
  <c r="K9" i="8"/>
  <c r="Q152" i="35"/>
  <c r="Q151" i="35" s="1"/>
  <c r="G43" i="23" l="1"/>
  <c r="E44" i="24" s="1"/>
  <c r="G44" i="24" s="1"/>
  <c r="I43" i="24" s="1"/>
  <c r="G42" i="23" l="1"/>
  <c r="E43" i="24" s="1"/>
  <c r="G43" i="24" s="1"/>
  <c r="I42" i="24" s="1"/>
  <c r="G41" i="23"/>
  <c r="E42" i="24" s="1"/>
  <c r="G42" i="24" s="1"/>
  <c r="I41" i="24" l="1"/>
  <c r="E43" i="29"/>
  <c r="E41" i="29" l="1"/>
  <c r="E42" i="29"/>
  <c r="F13" i="18" l="1"/>
  <c r="F14" i="18"/>
  <c r="F24" i="18"/>
  <c r="F25" i="18"/>
  <c r="F26" i="18"/>
  <c r="F15" i="18"/>
  <c r="F27" i="18"/>
  <c r="F16" i="18"/>
  <c r="F17" i="18"/>
  <c r="F18" i="18"/>
  <c r="F19" i="18"/>
  <c r="F20" i="18"/>
  <c r="F21" i="18"/>
  <c r="F22" i="18"/>
  <c r="F23" i="18"/>
  <c r="G14" i="18" l="1"/>
  <c r="C11" i="29"/>
  <c r="C14" i="29"/>
  <c r="G17" i="18"/>
  <c r="C13" i="29"/>
  <c r="G16" i="18"/>
  <c r="G19" i="18"/>
  <c r="C16" i="29"/>
  <c r="G15" i="18"/>
  <c r="C12" i="29"/>
  <c r="G26" i="18"/>
  <c r="C23" i="29"/>
  <c r="C17" i="29"/>
  <c r="G20" i="18"/>
  <c r="C24" i="29"/>
  <c r="G27" i="18"/>
  <c r="C20" i="29"/>
  <c r="G23" i="18"/>
  <c r="G18" i="18"/>
  <c r="C15" i="29"/>
  <c r="G13" i="18"/>
  <c r="C10" i="29"/>
  <c r="C19" i="29"/>
  <c r="G22" i="18"/>
  <c r="G25" i="18"/>
  <c r="C22" i="29"/>
  <c r="G24" i="18"/>
  <c r="C21" i="29"/>
  <c r="C18" i="29"/>
  <c r="G21" i="18"/>
  <c r="F12" i="18"/>
  <c r="C9" i="29" l="1"/>
  <c r="G12" i="18"/>
  <c r="G40" i="23" l="1"/>
  <c r="E41" i="24" s="1"/>
  <c r="G41" i="24" s="1"/>
  <c r="I40" i="24" s="1"/>
  <c r="E40" i="29" l="1"/>
  <c r="G39" i="23" l="1"/>
  <c r="E40" i="24" s="1"/>
  <c r="G40" i="24" s="1"/>
  <c r="I39" i="24" s="1"/>
  <c r="E39" i="29" l="1"/>
  <c r="G38" i="23"/>
  <c r="E39" i="24" s="1"/>
  <c r="G39" i="24" s="1"/>
  <c r="I38" i="24" s="1"/>
  <c r="G36" i="23" l="1"/>
  <c r="E37" i="24" s="1"/>
  <c r="G37" i="24" s="1"/>
  <c r="G37" i="23"/>
  <c r="E38" i="24" s="1"/>
  <c r="G38" i="24" s="1"/>
  <c r="I37" i="24" s="1"/>
  <c r="E38" i="29"/>
  <c r="I36" i="24" l="1"/>
  <c r="G35" i="23"/>
  <c r="E36" i="24" s="1"/>
  <c r="G36" i="24" s="1"/>
  <c r="I35" i="24" s="1"/>
  <c r="I34" i="24" s="1"/>
  <c r="G34" i="23"/>
  <c r="E35" i="24" s="1"/>
  <c r="G35" i="24" s="1"/>
  <c r="G33" i="23" l="1"/>
  <c r="E34" i="24" s="1"/>
  <c r="G34" i="24" s="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9" i="24" s="1"/>
  <c r="E37" i="29"/>
  <c r="E36" i="29" l="1"/>
  <c r="E35" i="29" l="1"/>
  <c r="E34" i="29" l="1"/>
  <c r="E33" i="29" l="1"/>
  <c r="E32" i="29" l="1"/>
  <c r="E31" i="29" l="1"/>
  <c r="E30" i="29" l="1"/>
  <c r="E29" i="29" l="1"/>
  <c r="E28" i="29" l="1"/>
  <c r="E27" i="29" l="1"/>
  <c r="E26" i="29" l="1"/>
  <c r="E25" i="29" l="1"/>
  <c r="E24" i="29" l="1"/>
  <c r="I24" i="29" l="1"/>
  <c r="E23" i="29"/>
  <c r="I23" i="29" l="1"/>
  <c r="P61" i="36"/>
  <c r="P59" i="36"/>
  <c r="P60" i="36"/>
  <c r="P58" i="36"/>
  <c r="E22" i="29"/>
  <c r="I22" i="29" l="1"/>
  <c r="P57" i="36" s="1"/>
  <c r="P54" i="36"/>
  <c r="P55" i="36"/>
  <c r="P56" i="36"/>
  <c r="E21" i="29"/>
  <c r="I21" i="29" l="1"/>
  <c r="P52" i="36" s="1"/>
  <c r="P51" i="36"/>
  <c r="P53" i="36"/>
  <c r="E20" i="29"/>
  <c r="P50" i="36" l="1"/>
  <c r="I20" i="29"/>
  <c r="P49" i="36" s="1"/>
  <c r="P46" i="36"/>
  <c r="P48" i="36"/>
  <c r="P47" i="36"/>
  <c r="E19" i="29"/>
  <c r="I19" i="29" l="1"/>
  <c r="P44" i="36"/>
  <c r="P42" i="36"/>
  <c r="P45" i="36"/>
  <c r="P43" i="36"/>
  <c r="E18" i="29"/>
  <c r="I18" i="29" l="1"/>
  <c r="P41" i="36"/>
  <c r="P38" i="36"/>
  <c r="P40" i="36"/>
  <c r="P39" i="36"/>
  <c r="E17" i="29"/>
  <c r="I17" i="29" l="1"/>
  <c r="P36" i="36"/>
  <c r="P34" i="36"/>
  <c r="P37" i="36"/>
  <c r="P35" i="36"/>
  <c r="E16" i="29"/>
  <c r="I16" i="29" l="1"/>
  <c r="P33" i="36" s="1"/>
  <c r="E15" i="29"/>
  <c r="P31" i="36" l="1"/>
  <c r="P30" i="36"/>
  <c r="P32" i="36"/>
  <c r="I15" i="29"/>
  <c r="P27" i="36"/>
  <c r="P28" i="36"/>
  <c r="P29" i="36"/>
  <c r="P26" i="36"/>
  <c r="E14" i="29"/>
  <c r="I14" i="29" l="1"/>
  <c r="P22" i="36"/>
  <c r="P25" i="36"/>
  <c r="P23" i="36"/>
  <c r="P24" i="36"/>
  <c r="E13" i="29"/>
  <c r="I13" i="29" l="1"/>
  <c r="P19" i="36"/>
  <c r="P20" i="36"/>
  <c r="P18" i="36"/>
  <c r="P21" i="36"/>
  <c r="E12" i="29"/>
  <c r="I12" i="29" s="1"/>
  <c r="P15" i="36" l="1"/>
  <c r="P17" i="36"/>
  <c r="P14" i="36"/>
  <c r="P16" i="36"/>
  <c r="E11" i="29"/>
  <c r="I11" i="29" s="1"/>
  <c r="P10" i="36" l="1"/>
  <c r="P12" i="36"/>
  <c r="P13" i="36"/>
  <c r="P11" i="36"/>
  <c r="E10" i="29"/>
  <c r="I10" i="29" s="1"/>
  <c r="P6" i="36" l="1"/>
  <c r="P7" i="36"/>
  <c r="P8" i="36"/>
  <c r="P9" i="36"/>
  <c r="E9" i="29"/>
  <c r="I9" i="29" s="1"/>
  <c r="P4" i="36" l="1"/>
  <c r="P3" i="36"/>
  <c r="P2" i="36"/>
  <c r="P5" i="36"/>
  <c r="J10" i="26" l="1"/>
  <c r="J11" i="26" l="1"/>
  <c r="L11" i="26" l="1"/>
  <c r="J12" i="26"/>
  <c r="L12" i="26" s="1"/>
  <c r="J13" i="26" l="1"/>
  <c r="J14" i="26" l="1"/>
  <c r="L14" i="26" s="1"/>
  <c r="L13" i="26"/>
  <c r="J15" i="26" l="1"/>
  <c r="J16" i="26" l="1"/>
  <c r="L16" i="26" s="1"/>
  <c r="L15" i="26"/>
  <c r="J17" i="26" l="1"/>
  <c r="L17" i="26" s="1"/>
  <c r="J18" i="26" l="1"/>
  <c r="L18" i="26" s="1"/>
  <c r="J19" i="26" l="1"/>
  <c r="L19" i="26" s="1"/>
  <c r="J20" i="26" l="1"/>
  <c r="L20" i="26" s="1"/>
  <c r="J21" i="26" l="1"/>
  <c r="L21" i="26" s="1"/>
  <c r="J22" i="26" l="1"/>
  <c r="L22" i="26" s="1"/>
  <c r="J23" i="26" l="1"/>
  <c r="L23" i="26" s="1"/>
  <c r="J24" i="26" l="1"/>
  <c r="L24" i="26" s="1"/>
  <c r="J25" i="26" l="1"/>
  <c r="J26" i="26" l="1"/>
  <c r="L26" i="26" s="1"/>
  <c r="L25" i="26"/>
  <c r="J27" i="26" l="1"/>
  <c r="L27" i="26" l="1"/>
  <c r="J28" i="26"/>
  <c r="L28" i="26" s="1"/>
  <c r="J29" i="26" l="1"/>
  <c r="L29" i="26" s="1"/>
  <c r="J30" i="26" l="1"/>
  <c r="J31" i="26" l="1"/>
  <c r="L31" i="26" s="1"/>
  <c r="L30" i="26"/>
  <c r="J32" i="26" l="1"/>
  <c r="J33" i="26" l="1"/>
  <c r="L33" i="26" s="1"/>
  <c r="L32" i="26"/>
  <c r="J35" i="26" l="1"/>
  <c r="J34" i="26"/>
  <c r="L34" i="26" s="1"/>
  <c r="L35" i="26" l="1"/>
  <c r="J36" i="26"/>
  <c r="L36" i="26" s="1"/>
  <c r="J37" i="26" l="1"/>
  <c r="L37" i="26" s="1"/>
  <c r="J38" i="26" l="1"/>
  <c r="J39" i="26" l="1"/>
  <c r="L39" i="26" s="1"/>
  <c r="L38" i="26"/>
  <c r="J40" i="26" l="1"/>
  <c r="J42" i="26" l="1"/>
  <c r="L40" i="26"/>
  <c r="J41" i="26"/>
  <c r="L41" i="26" s="1"/>
  <c r="L46" i="26" l="1"/>
  <c r="L42" i="26"/>
  <c r="L44" i="26"/>
  <c r="L45" i="26"/>
  <c r="J10" i="27"/>
  <c r="F11" i="27" l="1"/>
  <c r="J11" i="27"/>
  <c r="L11" i="27" s="1"/>
  <c r="F12" i="27" l="1"/>
  <c r="J12" i="27"/>
  <c r="L12" i="27" s="1"/>
  <c r="F13" i="27" l="1"/>
  <c r="J13" i="27"/>
  <c r="L13" i="27" s="1"/>
  <c r="F14" i="27" l="1"/>
  <c r="J14" i="27"/>
  <c r="L14" i="27" s="1"/>
  <c r="F15" i="27" l="1"/>
  <c r="J15" i="27"/>
  <c r="L15" i="27" s="1"/>
  <c r="F16" i="27" l="1"/>
  <c r="J16" i="27"/>
  <c r="L16" i="27" s="1"/>
  <c r="F17" i="27" l="1"/>
  <c r="J17" i="27"/>
  <c r="L17" i="27" s="1"/>
  <c r="F18" i="27" l="1"/>
  <c r="J18" i="27"/>
  <c r="L18" i="27" s="1"/>
  <c r="F19" i="27" l="1"/>
  <c r="J19" i="27"/>
  <c r="L19" i="27" s="1"/>
  <c r="F20" i="27" l="1"/>
  <c r="J20" i="27"/>
  <c r="L20" i="27" s="1"/>
  <c r="F21" i="27" l="1"/>
  <c r="J21" i="27"/>
  <c r="L21" i="27" s="1"/>
  <c r="F22" i="27" l="1"/>
  <c r="J22" i="27"/>
  <c r="L22" i="27" s="1"/>
  <c r="F23" i="27" l="1"/>
  <c r="J23" i="27"/>
  <c r="L23" i="27" s="1"/>
  <c r="F24" i="27" l="1"/>
  <c r="J24" i="27"/>
  <c r="L24" i="27" s="1"/>
  <c r="F13" i="28" l="1"/>
  <c r="F25" i="27"/>
  <c r="J25" i="27"/>
  <c r="L25" i="27" s="1"/>
  <c r="F26" i="27" l="1"/>
  <c r="J26" i="27"/>
  <c r="L26" i="27" s="1"/>
  <c r="F27" i="27" l="1"/>
  <c r="J27" i="27"/>
  <c r="L27" i="27" s="1"/>
  <c r="D14" i="28"/>
  <c r="F14" i="28"/>
  <c r="F28" i="27" l="1"/>
  <c r="J28" i="27"/>
  <c r="L28" i="27" s="1"/>
  <c r="H14" i="28"/>
  <c r="D15" i="28"/>
  <c r="F15" i="28"/>
  <c r="H15" i="28" s="1"/>
  <c r="D16" i="28" l="1"/>
  <c r="F16" i="28"/>
  <c r="H16" i="28" s="1"/>
  <c r="F29" i="27"/>
  <c r="J29" i="27"/>
  <c r="L29" i="27" s="1"/>
  <c r="F30" i="27" l="1"/>
  <c r="J30" i="27"/>
  <c r="L30" i="27" s="1"/>
  <c r="D17" i="28"/>
  <c r="F17" i="28"/>
  <c r="J31" i="27" l="1"/>
  <c r="H17" i="28"/>
  <c r="F20" i="28"/>
  <c r="D20" i="28"/>
  <c r="D18" i="28"/>
  <c r="F18" i="28"/>
  <c r="H18" i="28" s="1"/>
  <c r="D19" i="28"/>
  <c r="F19" i="28"/>
  <c r="D21" i="28" l="1"/>
  <c r="F21" i="28"/>
  <c r="H21" i="28" s="1"/>
  <c r="H20" i="28"/>
  <c r="H19" i="28"/>
  <c r="N19" i="28" l="1"/>
  <c r="N18" i="28"/>
  <c r="F32" i="27"/>
  <c r="J32" i="27"/>
  <c r="L32" i="27" s="1"/>
  <c r="N20" i="28"/>
  <c r="L20" i="28"/>
  <c r="P20" i="28" l="1"/>
  <c r="D22" i="28"/>
  <c r="F22" i="28"/>
  <c r="H22" i="28" s="1"/>
  <c r="F33" i="27"/>
  <c r="J33" i="27"/>
  <c r="L33" i="27" s="1"/>
  <c r="L19" i="28"/>
  <c r="L21" i="28"/>
  <c r="N21" i="28"/>
  <c r="P21" i="28" s="1"/>
  <c r="P19" i="28"/>
  <c r="D23" i="28" l="1"/>
  <c r="F23" i="28"/>
  <c r="H23" i="28" s="1"/>
  <c r="L18" i="28"/>
  <c r="N17" i="28"/>
  <c r="P18" i="28" s="1"/>
  <c r="D24" i="28" l="1"/>
  <c r="F24" i="28"/>
  <c r="H24" i="28" s="1"/>
  <c r="F34" i="27"/>
  <c r="J34" i="27"/>
  <c r="L34" i="27" s="1"/>
  <c r="L22" i="28"/>
  <c r="N22" i="28"/>
  <c r="P22" i="28" s="1"/>
  <c r="L17" i="28"/>
  <c r="N16" i="28"/>
  <c r="P17" i="28" s="1"/>
  <c r="L23" i="28" l="1"/>
  <c r="N23" i="28"/>
  <c r="P23" i="28" s="1"/>
  <c r="N15" i="28"/>
  <c r="F35" i="27"/>
  <c r="J35" i="27"/>
  <c r="L35" i="27" s="1"/>
  <c r="L16" i="28"/>
  <c r="F36" i="27" l="1"/>
  <c r="J36" i="27"/>
  <c r="L36" i="27" s="1"/>
  <c r="N13" i="28"/>
  <c r="N14" i="28"/>
  <c r="P15" i="28" s="1"/>
  <c r="L15" i="28"/>
  <c r="D26" i="28"/>
  <c r="F26" i="28"/>
  <c r="P16" i="28"/>
  <c r="N24" i="28"/>
  <c r="P24" i="28" s="1"/>
  <c r="L24" i="28"/>
  <c r="F25" i="28"/>
  <c r="H25" i="28" s="1"/>
  <c r="D25" i="28"/>
  <c r="H26" i="28" l="1"/>
  <c r="D28" i="28"/>
  <c r="F28" i="28"/>
  <c r="F27" i="28"/>
  <c r="H27" i="28" s="1"/>
  <c r="D27" i="28"/>
  <c r="L14" i="28"/>
  <c r="P14" i="28"/>
  <c r="N25" i="28" l="1"/>
  <c r="L25" i="28"/>
  <c r="L26" i="28"/>
  <c r="N26" i="28"/>
  <c r="F29" i="28"/>
  <c r="H29" i="28" s="1"/>
  <c r="D29" i="28"/>
  <c r="F37" i="27"/>
  <c r="J37" i="27"/>
  <c r="L37" i="27" s="1"/>
  <c r="F38" i="27"/>
  <c r="J38" i="27"/>
  <c r="H28" i="28"/>
  <c r="P26" i="28" l="1"/>
  <c r="L28" i="28"/>
  <c r="N28" i="28"/>
  <c r="N27" i="28"/>
  <c r="P27" i="28" s="1"/>
  <c r="L27" i="28"/>
  <c r="F39" i="27"/>
  <c r="J39" i="27"/>
  <c r="L39" i="27" s="1"/>
  <c r="L38" i="27"/>
  <c r="J40" i="27"/>
  <c r="F40" i="27"/>
  <c r="D30" i="28"/>
  <c r="F30" i="28"/>
  <c r="H35" i="28" s="1"/>
  <c r="P25" i="28"/>
  <c r="L40" i="27" l="1"/>
  <c r="P28" i="28"/>
  <c r="L29" i="28"/>
  <c r="N29" i="28"/>
  <c r="J41" i="27"/>
  <c r="L41" i="27" s="1"/>
  <c r="F41" i="27"/>
  <c r="H30" i="28"/>
  <c r="H34" i="28"/>
  <c r="J42" i="27" l="1"/>
  <c r="L42" i="27" s="1"/>
  <c r="F42" i="27"/>
  <c r="L30" i="28"/>
  <c r="N30" i="28"/>
  <c r="P34" i="28" s="1"/>
  <c r="P29" i="28"/>
  <c r="P35" i="28" l="1"/>
  <c r="P30" i="28"/>
  <c r="U32" i="16" l="1"/>
  <c r="T32" i="16" l="1"/>
  <c r="E28" i="18"/>
  <c r="F28" i="18" s="1"/>
  <c r="C25" i="29" l="1"/>
  <c r="I25" i="29" s="1"/>
  <c r="G28" i="18"/>
  <c r="S32" i="16"/>
  <c r="E29" i="18"/>
  <c r="F29" i="18" s="1"/>
  <c r="R32" i="16" l="1"/>
  <c r="E30" i="18"/>
  <c r="F30" i="18" s="1"/>
  <c r="C26" i="29"/>
  <c r="I26" i="29" s="1"/>
  <c r="P66" i="36" s="1"/>
  <c r="G29" i="18"/>
  <c r="P62" i="36"/>
  <c r="P64" i="36"/>
  <c r="P63" i="36"/>
  <c r="P65" i="36"/>
  <c r="P69" i="36" l="1"/>
  <c r="P67" i="36"/>
  <c r="P68" i="36"/>
  <c r="C27" i="29"/>
  <c r="I27" i="29" s="1"/>
  <c r="P73" i="36" s="1"/>
  <c r="G30" i="18"/>
  <c r="Q32" i="16"/>
  <c r="E31" i="18"/>
  <c r="F31" i="18" s="1"/>
  <c r="P72" i="36" l="1"/>
  <c r="P70" i="36"/>
  <c r="P71" i="36"/>
  <c r="P32" i="16"/>
  <c r="E32" i="18"/>
  <c r="F32" i="18" s="1"/>
  <c r="G31" i="18"/>
  <c r="C28" i="29"/>
  <c r="I28" i="29" s="1"/>
  <c r="P75" i="36" s="1"/>
  <c r="O32" i="16" l="1"/>
  <c r="E33" i="18"/>
  <c r="F33" i="18" s="1"/>
  <c r="P77" i="36"/>
  <c r="P74" i="36"/>
  <c r="P76" i="36"/>
  <c r="C29" i="29"/>
  <c r="I29" i="29" s="1"/>
  <c r="P80" i="36" s="1"/>
  <c r="G32" i="18"/>
  <c r="P79" i="36" l="1"/>
  <c r="P78" i="36"/>
  <c r="G33" i="18"/>
  <c r="C30" i="29"/>
  <c r="I30" i="29" s="1"/>
  <c r="P81" i="36"/>
  <c r="N32" i="16"/>
  <c r="E34" i="18"/>
  <c r="F34" i="18" s="1"/>
  <c r="P84" i="36" l="1"/>
  <c r="P85" i="36"/>
  <c r="P82" i="36"/>
  <c r="P83" i="36"/>
  <c r="G34" i="18"/>
  <c r="C31" i="29"/>
  <c r="I31" i="29" s="1"/>
  <c r="P87" i="36" s="1"/>
  <c r="M32" i="16"/>
  <c r="E35" i="18"/>
  <c r="F35" i="18" s="1"/>
  <c r="G35" i="18" l="1"/>
  <c r="C32" i="29"/>
  <c r="I32" i="29" s="1"/>
  <c r="P90" i="36" s="1"/>
  <c r="P86" i="36"/>
  <c r="L32" i="16"/>
  <c r="E36" i="18"/>
  <c r="F36" i="18" s="1"/>
  <c r="P89" i="36"/>
  <c r="P88" i="36"/>
  <c r="P93" i="36" l="1"/>
  <c r="C33" i="29"/>
  <c r="I33" i="29" s="1"/>
  <c r="G36" i="18"/>
  <c r="K32" i="16"/>
  <c r="E37" i="18"/>
  <c r="F37" i="18" s="1"/>
  <c r="P92" i="36"/>
  <c r="P91" i="36"/>
  <c r="J32" i="16" l="1"/>
  <c r="E38" i="18"/>
  <c r="F38" i="18" s="1"/>
  <c r="C34" i="29"/>
  <c r="I34" i="29" s="1"/>
  <c r="P100" i="36" s="1"/>
  <c r="G37" i="18"/>
  <c r="P94" i="36"/>
  <c r="P101" i="36" l="1"/>
  <c r="P98" i="36"/>
  <c r="G38" i="18"/>
  <c r="C35" i="29"/>
  <c r="I35" i="29" s="1"/>
  <c r="P99" i="36"/>
  <c r="I32" i="16"/>
  <c r="E39" i="18"/>
  <c r="F39" i="18" s="1"/>
  <c r="P102" i="36" l="1"/>
  <c r="P104" i="36"/>
  <c r="P103" i="36"/>
  <c r="P105" i="36"/>
  <c r="C36" i="29"/>
  <c r="I36" i="29" s="1"/>
  <c r="P109" i="36" s="1"/>
  <c r="G39" i="18"/>
  <c r="H32" i="16"/>
  <c r="E40" i="18"/>
  <c r="F40" i="18" s="1"/>
  <c r="C37" i="29" l="1"/>
  <c r="I37" i="29" s="1"/>
  <c r="P113" i="36" s="1"/>
  <c r="G40" i="18"/>
  <c r="P108" i="36"/>
  <c r="G32" i="16"/>
  <c r="E41" i="18"/>
  <c r="F41" i="18" s="1"/>
  <c r="P106" i="36"/>
  <c r="P107" i="36"/>
  <c r="P111" i="36" l="1"/>
  <c r="P112" i="36"/>
  <c r="C38" i="29"/>
  <c r="I38" i="29" s="1"/>
  <c r="P115" i="36" s="1"/>
  <c r="G41" i="18"/>
  <c r="P110" i="36"/>
  <c r="G35" i="16"/>
  <c r="E42" i="18" s="1"/>
  <c r="F42" i="18" s="1"/>
  <c r="F32" i="16"/>
  <c r="E32" i="16" l="1"/>
  <c r="F35" i="16"/>
  <c r="E43" i="18" s="1"/>
  <c r="F43" i="18" s="1"/>
  <c r="C39" i="29"/>
  <c r="I39" i="29" s="1"/>
  <c r="P120" i="36" s="1"/>
  <c r="G42" i="18"/>
  <c r="P116" i="36"/>
  <c r="P117" i="36"/>
  <c r="P114" i="36"/>
  <c r="P119" i="36" l="1"/>
  <c r="P121" i="36"/>
  <c r="P118" i="36"/>
  <c r="D32" i="16"/>
  <c r="E35" i="16"/>
  <c r="E44" i="18" s="1"/>
  <c r="F44" i="18" s="1"/>
  <c r="G43" i="18"/>
  <c r="C40" i="29"/>
  <c r="I40" i="29" s="1"/>
  <c r="P123" i="36" s="1"/>
  <c r="P124" i="36" l="1"/>
  <c r="P122" i="36"/>
  <c r="P125" i="36"/>
  <c r="G44" i="18"/>
  <c r="C41" i="29"/>
  <c r="I41" i="29" s="1"/>
  <c r="P127" i="36" s="1"/>
  <c r="C32" i="16"/>
  <c r="D35" i="16"/>
  <c r="E45" i="18" s="1"/>
  <c r="F45" i="18" s="1"/>
  <c r="P129" i="36" l="1"/>
  <c r="P128" i="36"/>
  <c r="B32" i="16"/>
  <c r="C35" i="16"/>
  <c r="E46" i="18" s="1"/>
  <c r="F46" i="18" s="1"/>
  <c r="G45" i="18"/>
  <c r="C42" i="29"/>
  <c r="I42" i="29" s="1"/>
  <c r="P133" i="36" s="1"/>
  <c r="P126" i="36"/>
  <c r="B35" i="16" l="1"/>
  <c r="E47" i="18" s="1"/>
  <c r="F47" i="18" s="1"/>
  <c r="G46" i="18"/>
  <c r="C43" i="29"/>
  <c r="I43" i="29" s="1"/>
  <c r="P131" i="36"/>
  <c r="P132" i="36"/>
  <c r="P130" i="36"/>
  <c r="P135" i="36" l="1"/>
  <c r="P137" i="36"/>
  <c r="G47" i="18"/>
  <c r="C44" i="29"/>
  <c r="I44" i="29" s="1"/>
  <c r="I48" i="29" s="1"/>
  <c r="I49" i="29" s="1"/>
  <c r="P136" i="36"/>
  <c r="P134" i="36"/>
  <c r="I47" i="29" l="1"/>
  <c r="Q146" i="36" s="1"/>
  <c r="P138" i="36"/>
  <c r="P141" i="36"/>
  <c r="P140" i="36"/>
  <c r="P139" i="36"/>
  <c r="P142" i="36"/>
  <c r="Q142" i="36" s="1"/>
  <c r="Q145" i="36" l="1"/>
  <c r="Q143" i="36"/>
  <c r="Q144" i="36"/>
  <c r="Q150" i="36"/>
  <c r="Q152" i="36" l="1"/>
  <c r="Q151" i="36" s="1"/>
  <c r="M9" i="8"/>
  <c r="O9" i="8" s="1"/>
  <c r="O14" i="8" s="1"/>
  <c r="O18" i="8" s="1"/>
  <c r="Q148" i="36"/>
  <c r="Q149" i="36"/>
  <c r="Q147" i="36"/>
</calcChain>
</file>

<file path=xl/sharedStrings.xml><?xml version="1.0" encoding="utf-8"?>
<sst xmlns="http://schemas.openxmlformats.org/spreadsheetml/2006/main" count="4112" uniqueCount="569">
  <si>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</si>
  <si>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</si>
  <si>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</si>
  <si>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</si>
  <si>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</si>
  <si>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</si>
  <si>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</si>
  <si>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</si>
  <si>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</si>
  <si>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</si>
  <si>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</si>
  <si>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</si>
  <si>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</si>
  <si>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</si>
  <si>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</si>
  <si>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</si>
  <si>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</si>
  <si>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</si>
  <si>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</si>
  <si>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</si>
  <si>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</si>
  <si>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</si>
  <si>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</si>
  <si>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</si>
  <si>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</si>
  <si>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 xml:space="preserve">(b)  </t>
  </si>
  <si>
    <t xml:space="preserve">(c)  </t>
  </si>
  <si>
    <t>Incurred Medical Loss Development Factors</t>
  </si>
  <si>
    <t>(b)</t>
  </si>
  <si>
    <t>Incurred Medical Loss Development Factors (Continued)</t>
  </si>
  <si>
    <t xml:space="preserve">(d)  </t>
  </si>
  <si>
    <t>Paid Indemnity Loss Development Factors</t>
  </si>
  <si>
    <t>---</t>
  </si>
  <si>
    <t>Paid Indemnity Loss Development Factors (Continued)</t>
  </si>
  <si>
    <t/>
  </si>
  <si>
    <t>Paid Medical Loss Development Factors</t>
  </si>
  <si>
    <t>Selected (c)</t>
  </si>
  <si>
    <t xml:space="preserve">(a)  </t>
  </si>
  <si>
    <t>(c)</t>
  </si>
  <si>
    <t xml:space="preserve">(e)  </t>
  </si>
  <si>
    <t>Paid Medical Loss Development Factors (Continued)</t>
  </si>
  <si>
    <t>(e)</t>
  </si>
  <si>
    <t xml:space="preserve">(f)  </t>
  </si>
  <si>
    <t>Developed Indemnity Loss Ratios Using Selected Loss Development Factors</t>
  </si>
  <si>
    <t>Development Factors</t>
  </si>
  <si>
    <t>(1)</t>
  </si>
  <si>
    <t>(2)</t>
  </si>
  <si>
    <t>(3)</t>
  </si>
  <si>
    <t>(4)</t>
  </si>
  <si>
    <t>Developed Medical Loss Ratios Using Selected Loss Development Factors</t>
  </si>
  <si>
    <t>(5)</t>
  </si>
  <si>
    <t>(6)</t>
  </si>
  <si>
    <t>Adjusted</t>
  </si>
  <si>
    <t>Projected</t>
  </si>
  <si>
    <t>Accident</t>
  </si>
  <si>
    <t>Ultimate</t>
  </si>
  <si>
    <t>Loss Ratio</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</si>
  <si>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</si>
  <si>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</si>
  <si>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</si>
  <si>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</si>
  <si>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</si>
  <si>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</si>
  <si>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</si>
  <si>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</si>
  <si>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</si>
  <si>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</si>
  <si>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</si>
  <si>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</si>
  <si>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</si>
  <si>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</si>
  <si>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</si>
  <si>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</si>
  <si>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</si>
  <si>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</si>
  <si>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</si>
  <si>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</si>
  <si>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</si>
  <si>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</si>
  <si>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</si>
  <si>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</si>
  <si>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</si>
  <si>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</si>
  <si>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</si>
  <si>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</si>
  <si>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</si>
  <si>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</si>
  <si>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</si>
  <si>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</si>
  <si>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</si>
  <si>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</si>
  <si>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</si>
  <si>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</si>
  <si>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</si>
  <si>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</si>
  <si>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</si>
  <si>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</si>
  <si>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</si>
  <si>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</si>
  <si>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</si>
  <si>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</si>
  <si>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</si>
  <si>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</si>
  <si>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</si>
  <si>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</si>
  <si>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</si>
  <si>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</si>
  <si>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</si>
  <si>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</si>
  <si>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</si>
  <si>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</si>
  <si>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</si>
  <si>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</si>
  <si>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</si>
  <si>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</si>
  <si>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</si>
  <si>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</si>
  <si>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</si>
  <si>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</si>
  <si>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On-level</t>
  </si>
  <si>
    <t>Medical (a)</t>
  </si>
  <si>
    <t>See Exhibit 4.2, Column (6).</t>
  </si>
  <si>
    <t>See Exhibit 4.3, Column (3).</t>
  </si>
  <si>
    <t>Column (3) = [1.0 + Column (1) ] x [1.0 + Column (2)] - 1.0.</t>
  </si>
  <si>
    <t xml:space="preserve">Annual Wage Level Changes   </t>
  </si>
  <si>
    <t>Annual Wage</t>
  </si>
  <si>
    <t>Premium Adjustment Factors</t>
  </si>
  <si>
    <t>(2a)</t>
  </si>
  <si>
    <t>(2b)</t>
  </si>
  <si>
    <t>(2c)</t>
  </si>
  <si>
    <t>(7)</t>
  </si>
  <si>
    <t>Ratio of</t>
  </si>
  <si>
    <t>Factor to</t>
  </si>
  <si>
    <t>Insurer Premium</t>
  </si>
  <si>
    <t>Off-Balance</t>
  </si>
  <si>
    <t>Industry Average</t>
  </si>
  <si>
    <t>Correction in</t>
  </si>
  <si>
    <t>Charged Rates</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</si>
  <si>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</si>
  <si>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</si>
  <si>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</si>
  <si>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</si>
  <si>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</si>
  <si>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</si>
  <si>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</si>
  <si>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</si>
  <si>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</si>
  <si>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</si>
  <si>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</si>
  <si>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</si>
  <si>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</si>
  <si>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</si>
  <si>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</si>
  <si>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</si>
  <si>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</si>
  <si>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</si>
  <si>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</si>
  <si>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</si>
  <si>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</si>
  <si>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</si>
  <si>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</si>
  <si>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</si>
  <si>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</si>
  <si>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</si>
  <si>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</si>
  <si>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</si>
  <si>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</si>
  <si>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(h)</t>
  </si>
  <si>
    <t>Annual %</t>
  </si>
  <si>
    <t>Annual Log Differences</t>
  </si>
  <si>
    <t>Changes Intra-</t>
  </si>
  <si>
    <t>Intra-Class Indemnity Frequency</t>
  </si>
  <si>
    <t>AY+1</t>
  </si>
  <si>
    <t>Economic</t>
  </si>
  <si>
    <t>Class Ind Freq</t>
  </si>
  <si>
    <t>Variables</t>
  </si>
  <si>
    <t>AY</t>
  </si>
  <si>
    <t>Non-cum.</t>
  </si>
  <si>
    <t>Benefit Level</t>
  </si>
  <si>
    <t>Injury Index</t>
  </si>
  <si>
    <t>(1st Prin. Comp.)</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</si>
  <si>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</si>
  <si>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</si>
  <si>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</si>
  <si>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</si>
  <si>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</si>
  <si>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</si>
  <si>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</si>
  <si>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</si>
  <si>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</si>
  <si>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</si>
  <si>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</si>
  <si>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</si>
  <si>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</si>
  <si>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</si>
  <si>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</si>
  <si>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Factor (a)</t>
  </si>
  <si>
    <t>Projection of Medical Severity Trends by Accident Year</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</si>
  <si>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</si>
  <si>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</si>
  <si>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</si>
  <si>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</si>
  <si>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</si>
  <si>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</si>
  <si>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</si>
  <si>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</si>
  <si>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</si>
  <si>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</si>
  <si>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</si>
  <si>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</si>
  <si>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Projected On-Level Accident Year</t>
  </si>
  <si>
    <t>On-Level Indemnity to</t>
  </si>
  <si>
    <t>Developed Indemnity</t>
  </si>
  <si>
    <t>Composite Indemnity</t>
  </si>
  <si>
    <t>Composite Premium</t>
  </si>
  <si>
    <t>Pure Premium Ratio</t>
  </si>
  <si>
    <t>(1)×(2)÷(3)</t>
  </si>
  <si>
    <t>Projections (d)</t>
  </si>
  <si>
    <t>See Exhibit 3.1.</t>
  </si>
  <si>
    <t>See Exhibit 4.1.</t>
  </si>
  <si>
    <t>See Exhibit 5.2.</t>
  </si>
  <si>
    <t>On-Level Medical to</t>
  </si>
  <si>
    <t>Developed Medical</t>
  </si>
  <si>
    <t>Composite Medical</t>
  </si>
  <si>
    <t>See Exhibit 3.2. Medical loss ratios for accident years 2011 and subsequent do not reflect the cost of medical cost containment programs (MCCP). Ratios for accident years 2010 and prior do reflect MCCP costs.</t>
  </si>
  <si>
    <t>See Exhibit 4.4.</t>
  </si>
  <si>
    <t>1.</t>
  </si>
  <si>
    <t>Projected Loss Adjustment Expense Factor</t>
  </si>
  <si>
    <t>4.</t>
  </si>
  <si>
    <t>Cumulative Unadjusted</t>
  </si>
  <si>
    <t>The Indemnity Benefit Level variable has been revised due to on-leveling reassessments.  See Actuarial Committee item AC09-03-03.</t>
  </si>
  <si>
    <t>Factor</t>
  </si>
  <si>
    <t>Adj</t>
  </si>
  <si>
    <t>MCCP</t>
  </si>
  <si>
    <t>Estimated Annual Exponential Trend</t>
  </si>
  <si>
    <t>ALAE</t>
  </si>
  <si>
    <t>ULAE</t>
  </si>
  <si>
    <t>Frequency Adj (Exh 6.1)</t>
  </si>
  <si>
    <t>Projection Assumptions</t>
  </si>
  <si>
    <t>Severity Trend (Exh 6.4)</t>
  </si>
  <si>
    <t>With Separate Adjustments on Open and Closed Claims</t>
  </si>
  <si>
    <t>for Changes in Claim Settlement Rates</t>
  </si>
  <si>
    <t>A. Total Reported Indemnity Claim Counts</t>
  </si>
  <si>
    <t xml:space="preserve">B. Development of Total Reported Indemnity Claim Counts </t>
  </si>
  <si>
    <t>Latest Year</t>
  </si>
  <si>
    <t>Acc. Year</t>
  </si>
  <si>
    <t>Ult. Claim Counts</t>
  </si>
  <si>
    <t>C. Closed Indemnity Claim Counts</t>
  </si>
  <si>
    <t>F. Average Paid Indemnity per Closed Claim</t>
  </si>
  <si>
    <t>Ratio of closed indemnity claim counts (Item C) to the estimated ultimate indemnity claim counts (Item B) for that accident year.</t>
  </si>
  <si>
    <t>The claim counts for the latest evaluation of each accident year are equal to the reported number of closed indemnity claims.  All prior evaluations shown are the product of the latest ultimate indemnity claim settlement ratio (Item D) and the ultimate indemnity claim counts (Item B) for that accident year.</t>
  </si>
  <si>
    <t>I. Paid Indemnity on Open Claims (in $000)</t>
  </si>
  <si>
    <t>Adjusted based on ultimate indemnity claim settlement ratios (Item D) and assuming a log-linear relationship between maturities.</t>
  </si>
  <si>
    <t>Each amount is the product of the adjusted closed indemnity claim counts (Item E) and the adjusted average paid indemnity per closed claim (Item G), and divided by $1,000.</t>
  </si>
  <si>
    <t xml:space="preserve">K. Changes in Paid Indemnity on Open Claims Resulting from the Impact of Changes in </t>
  </si>
  <si>
    <t>Each amount is equal to the product of [the average monthly indemnity payment per open indemnity claim] and [the number of months for the current evaluation].  For evaluations indicating claim settlement rate decreases, the average monthly indemnity payment per open indemnity claim at the prior evaluation is used.  For evaluations indicating claim settlement rate increases, the average monthly indemnity payment per open indemnity claim at the same evaluation is used.</t>
  </si>
  <si>
    <t>Each amount is equal to [the difference between unadjusted and adjusted closed indemnity claim counts (Items C and E)] multiplied by the corresponding [average paid indemnity per open claim for indemnity claims in transition (Item J)].</t>
  </si>
  <si>
    <t>Each amount is the sum of [paid indemnity on open claims (Item I)] and the corresponding [incremental changes in paid indemnity on open claims resulting from the impact of changes in claim settlement rates (Item K)].</t>
  </si>
  <si>
    <t>N. Paid Indemnity Loss Development Factors Based on Adjusted Total Paid Indemnity</t>
  </si>
  <si>
    <t>3-Year Average</t>
  </si>
  <si>
    <t>Each amount is the sum of the adjusted paid indemnity on closed claims (Item H) and the adjusted paid indemnity on open claims (Item L).</t>
  </si>
  <si>
    <t xml:space="preserve">Development factors are based on paid indemnity losses from the same insurer mix as that used in the adjustment for changes in claim settlement rates and applied in the calculation of the development factors in Item N.  </t>
  </si>
  <si>
    <t>(j)</t>
  </si>
  <si>
    <t>Each factor represents the change in age-to-age development factors from Item O to those in Item N.</t>
  </si>
  <si>
    <t>(k)</t>
  </si>
  <si>
    <t>Source:  Accident year experience of insurers with available claim count data</t>
  </si>
  <si>
    <t>F. Average Paid Medical per Closed Indemnity Claim</t>
  </si>
  <si>
    <t>I. Paid Medical on Open Indemnity Claims (in $000)</t>
  </si>
  <si>
    <t>Each amount is equal to the product of [adjusted closed indemnity claim counts (Item E)] and [adjusted average paid medical per closed indemnity claim (Item G)], and divided by $1,000.</t>
  </si>
  <si>
    <t xml:space="preserve">K. Changes in Paid Medical on Open Indemnity Claims Resulting from the Impact of Changes in </t>
  </si>
  <si>
    <t>Each amount is equal to the product of [the average monthly medical payment per open indemnity claim] and [the number of months for the current evaluation].  For evaluations indicating claim settlement rate decreases, the average monthly medical payment per open indemnity claim at the prior evaluation is used.  For evaluations indicating claim settlement rate increases, the average monthly medical payment per open indemnity claim at the same evaluation is used.</t>
  </si>
  <si>
    <t>Each amount is equal to [the difference between unadjusted and adjusted closed indemnity claim counts (Items C and E)] multiplied by [the corresponding average paid medical per open indemnity claim for indemnity claims in transition (Item J)].</t>
  </si>
  <si>
    <t>Each amount is the sum of [paid medical on open indemnity claims (Item I)] and the corresponding [incremental changes in paid medical on open indemnity claims resulting from the impact of changes in indemnity claim settlement rates (Item K)].</t>
  </si>
  <si>
    <t>M. Paid Medical on Medical-Only Claims (in $000)</t>
  </si>
  <si>
    <t>O. Paid Medical Loss Development Factors Based on Adjusted Total Paid Medical</t>
  </si>
  <si>
    <t>Development factors are based on paid medical losses from the same insurer mix as that used in the adjustment for changes in claim settlement rates and applied in the calculation of the development factors in Item O.</t>
  </si>
  <si>
    <t>Each factor represents the change in age-to-age development factors from Item P to those in Item O.</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</si>
  <si>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</si>
  <si>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</si>
  <si>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</si>
  <si>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</si>
  <si>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Each factor is the product of [1.0 + the impact of adjustment for changes in claim settlement rates (Item Q)] and [the adjusted paid medical age-to-age development factor from Exhibit 2.6.1].</t>
  </si>
  <si>
    <t>See Exhibits 2.5.1 and 2.5.2.</t>
  </si>
  <si>
    <t>Source:</t>
  </si>
  <si>
    <t>Age-to-Age (in months) (b)</t>
  </si>
  <si>
    <t>Adjusted for Changes in Claim Settlement Rates</t>
  </si>
  <si>
    <t>Weight</t>
  </si>
  <si>
    <t>Evaluated as of (in months)</t>
  </si>
  <si>
    <t>Age-to-Age Development (in months):</t>
  </si>
  <si>
    <r>
      <t>D. Ultimate Indemnity Claim Settlement Ratio</t>
    </r>
    <r>
      <rPr>
        <sz val="10"/>
        <rFont val="Arial"/>
        <family val="2"/>
      </rPr>
      <t xml:space="preserve"> (a)</t>
    </r>
  </si>
  <si>
    <r>
      <t>E. Adjusted Closed Indemnity Claim Counts at Equal Percentiles of Ultimate Claim Counts</t>
    </r>
    <r>
      <rPr>
        <sz val="10"/>
        <rFont val="Arial"/>
        <family val="2"/>
      </rPr>
      <t xml:space="preserve"> (b)</t>
    </r>
  </si>
  <si>
    <r>
      <t>G. Adjusted Average Paid Indemnity per Closed Claim</t>
    </r>
    <r>
      <rPr>
        <sz val="10"/>
        <rFont val="Arial"/>
        <family val="2"/>
      </rPr>
      <t xml:space="preserve"> (c)</t>
    </r>
  </si>
  <si>
    <r>
      <t>H. Adjusted Paid Indemnity on Closed Claims (in $000)</t>
    </r>
    <r>
      <rPr>
        <sz val="10"/>
        <rFont val="Arial"/>
        <family val="2"/>
      </rPr>
      <t xml:space="preserve"> (d)</t>
    </r>
  </si>
  <si>
    <r>
      <t>J. Average Paid Indemnity per Open Claim for Indemnity Claims in Transition</t>
    </r>
    <r>
      <rPr>
        <sz val="10"/>
        <rFont val="Arial"/>
        <family val="2"/>
      </rPr>
      <t xml:space="preserve"> (e)</t>
    </r>
  </si>
  <si>
    <r>
      <t xml:space="preserve">     </t>
    </r>
    <r>
      <rPr>
        <u/>
        <sz val="10"/>
        <rFont val="Arial"/>
        <family val="2"/>
      </rPr>
      <t>Claim Settlement Rates (in $000)</t>
    </r>
    <r>
      <rPr>
        <sz val="10"/>
        <rFont val="Arial"/>
        <family val="2"/>
      </rPr>
      <t xml:space="preserve"> (f)</t>
    </r>
  </si>
  <si>
    <r>
      <t>L. Adjusted Paid Indemnity on Open Claims (in $000)</t>
    </r>
    <r>
      <rPr>
        <sz val="10"/>
        <rFont val="Arial"/>
        <family val="2"/>
      </rPr>
      <t xml:space="preserve"> (g)</t>
    </r>
  </si>
  <si>
    <r>
      <t>M. Adjusted Total Paid Indemnity (in $000)</t>
    </r>
    <r>
      <rPr>
        <sz val="10"/>
        <rFont val="Arial"/>
        <family val="2"/>
      </rPr>
      <t xml:space="preserve"> (h)</t>
    </r>
  </si>
  <si>
    <r>
      <t>O. Paid Indemnity Loss Development Factors</t>
    </r>
    <r>
      <rPr>
        <sz val="10"/>
        <rFont val="Arial"/>
        <family val="2"/>
      </rPr>
      <t xml:space="preserve"> (i)</t>
    </r>
  </si>
  <si>
    <r>
      <t>P. Impact of Adjustment for Changes in Claim Settlement Rates</t>
    </r>
    <r>
      <rPr>
        <sz val="10"/>
        <rFont val="Arial"/>
        <family val="2"/>
      </rPr>
      <t xml:space="preserve"> (j)</t>
    </r>
  </si>
  <si>
    <r>
      <t>G. Adjusted Average Paid Medical per Closed Indemnity Claim</t>
    </r>
    <r>
      <rPr>
        <sz val="10"/>
        <rFont val="Arial"/>
        <family val="2"/>
      </rPr>
      <t xml:space="preserve"> (c)</t>
    </r>
  </si>
  <si>
    <r>
      <t>H. Adjusted Paid Medical (in $000) on Closed Indemnity Claims</t>
    </r>
    <r>
      <rPr>
        <sz val="10"/>
        <rFont val="Arial"/>
        <family val="2"/>
      </rPr>
      <t xml:space="preserve"> (d)</t>
    </r>
  </si>
  <si>
    <r>
      <t>J. Average Paid Medical per Open Indemnity Claim for Indemnity Claims in Transition</t>
    </r>
    <r>
      <rPr>
        <sz val="10"/>
        <rFont val="Arial"/>
        <family val="2"/>
      </rPr>
      <t xml:space="preserve"> (e)</t>
    </r>
  </si>
  <si>
    <r>
      <t xml:space="preserve">     </t>
    </r>
    <r>
      <rPr>
        <u/>
        <sz val="10"/>
        <rFont val="Arial"/>
        <family val="2"/>
      </rPr>
      <t>Indemnity Claim Settlement Rates (in $000)</t>
    </r>
    <r>
      <rPr>
        <sz val="10"/>
        <rFont val="Arial"/>
        <family val="2"/>
      </rPr>
      <t xml:space="preserve"> (f)</t>
    </r>
  </si>
  <si>
    <r>
      <t>L. Adjusted Paid Medical on Open Indemnity Claims (in $000)</t>
    </r>
    <r>
      <rPr>
        <sz val="10"/>
        <rFont val="Arial"/>
        <family val="2"/>
      </rPr>
      <t xml:space="preserve"> (g)</t>
    </r>
  </si>
  <si>
    <r>
      <t>N. Adjusted Total Paid Medical (in $000)</t>
    </r>
    <r>
      <rPr>
        <sz val="10"/>
        <rFont val="Arial"/>
        <family val="2"/>
      </rPr>
      <t xml:space="preserve"> (h)</t>
    </r>
  </si>
  <si>
    <t>Each amount is the sum of [adjusted paid medical on closed indemnity claims (Item H)], [adjusted paid medical on open indemnity claims (Item L)] and [paid medical on medical-only claims (Item M)].  The effect of the paid cost of medical cost containment programs are only present for accident years 2011 and prior.</t>
  </si>
  <si>
    <r>
      <t>P. Paid Medical Loss Development Factors</t>
    </r>
    <r>
      <rPr>
        <sz val="10"/>
        <rFont val="Arial"/>
        <family val="2"/>
      </rPr>
      <t xml:space="preserve"> (i)</t>
    </r>
  </si>
  <si>
    <r>
      <t>Q. Impact of Adjustment for Changes in Indemnity Claim Settlement Rates</t>
    </r>
    <r>
      <rPr>
        <sz val="10"/>
        <rFont val="Arial"/>
        <family val="2"/>
      </rPr>
      <t xml:space="preserve"> (j)</t>
    </r>
  </si>
  <si>
    <t>Medical**</t>
  </si>
  <si>
    <t xml:space="preserve">Cumulative Adjusted </t>
  </si>
  <si>
    <t>for Impact of SB 1160</t>
  </si>
  <si>
    <t xml:space="preserve">Cumulative Unadjusted </t>
  </si>
  <si>
    <t>Cumulative Adjusted</t>
  </si>
  <si>
    <t>for Impact of SB 1160(d)</t>
  </si>
  <si>
    <t>Reform Adjusted</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</si>
  <si>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</si>
  <si>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</si>
  <si>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(a) These adjustment factors are based on Exhibit 4.1, excluding the impact of frequency.</t>
  </si>
  <si>
    <t>From a Special Carrier Study through 1990. Based on WCIRB's Aggregate Indemnity and Medical Costs Calls for years 1991 through 2012. Based on WCIRB medical transaction data from 2013 onwards. Accident years 2011 and subsequent do not include MCCP costs.</t>
  </si>
  <si>
    <t xml:space="preserve">(g)  </t>
  </si>
  <si>
    <r>
      <t xml:space="preserve">Projected Ultimate 
</t>
    </r>
    <r>
      <rPr>
        <u/>
        <sz val="10"/>
        <rFont val="Arial"/>
        <family val="2"/>
      </rPr>
      <t>Loss Ratio</t>
    </r>
  </si>
  <si>
    <t>(4) = (1) x (3)</t>
  </si>
  <si>
    <t>On-Level Ratio*</t>
  </si>
  <si>
    <t>5.</t>
  </si>
  <si>
    <t>Developed</t>
  </si>
  <si>
    <t>Loss Ratio (b)</t>
  </si>
  <si>
    <t>Loss Ratio (d)</t>
  </si>
  <si>
    <t>2.</t>
  </si>
  <si>
    <t>3.</t>
  </si>
  <si>
    <r>
      <t xml:space="preserve">Accident
</t>
    </r>
    <r>
      <rPr>
        <u/>
        <sz val="10"/>
        <rFont val="Arial"/>
        <family val="2"/>
      </rPr>
      <t>Year</t>
    </r>
  </si>
  <si>
    <t>(ALAE + MCCP + ULAE, See Appendix C)</t>
  </si>
  <si>
    <t>Age</t>
  </si>
  <si>
    <t>Projected:</t>
  </si>
  <si>
    <t>N/A</t>
  </si>
  <si>
    <t>Loss Ratio (a)</t>
  </si>
  <si>
    <t>Adjustment Factor (b)</t>
  </si>
  <si>
    <t>Adjustment Factor (c)</t>
  </si>
  <si>
    <t>On-Level Factor (b)</t>
  </si>
  <si>
    <t>Pure Premium Ratio (e)</t>
  </si>
  <si>
    <t>Accident years 2011 and subsequent do not reflect the paid MCCP costs.  Accident years 2010 and prior do reflect paid MCCP costs.</t>
  </si>
  <si>
    <t xml:space="preserve">         Aggregate Indemnity and Medical Costs.</t>
  </si>
  <si>
    <t>Level Change (a)</t>
  </si>
  <si>
    <t>Medical (b)</t>
  </si>
  <si>
    <t>Medical (c)</t>
  </si>
  <si>
    <t>Medical Severity (a)</t>
  </si>
  <si>
    <t>Frequency Changes (b)</t>
  </si>
  <si>
    <t>Impact on Medical (c)</t>
  </si>
  <si>
    <t>Annual (c)</t>
  </si>
  <si>
    <t>Annual (b)</t>
  </si>
  <si>
    <t>AYE</t>
  </si>
  <si>
    <t>Exhibit 2.5.3</t>
  </si>
  <si>
    <t>Exhibit 2.5.4</t>
  </si>
  <si>
    <t>Exhibit 2.5.5</t>
  </si>
  <si>
    <t>Exhibit 2.5.6</t>
  </si>
  <si>
    <t>Exhibit 2.5.7</t>
  </si>
  <si>
    <t>Exhibit 2.5.8</t>
  </si>
  <si>
    <t>Exhibit 2.6.3</t>
  </si>
  <si>
    <t>Exhibit 2.6.4</t>
  </si>
  <si>
    <t>Exhibit 2.6.5</t>
  </si>
  <si>
    <t>Exhibit 2.6.6</t>
  </si>
  <si>
    <t>Exhibit 2.6.7</t>
  </si>
  <si>
    <t>Exhibit 2.6.8</t>
  </si>
  <si>
    <t>Each factor is the product of [1.0 + the impact of adjustment for changes in claim settlement rates (Item P)]</t>
  </si>
  <si>
    <t>and [the paid indemnity age-to-age development factor from Exhibit 2.5.1].</t>
  </si>
  <si>
    <r>
      <t xml:space="preserve">Paid Loss </t>
    </r>
    <r>
      <rPr>
        <u/>
        <sz val="10"/>
        <rFont val="Arial"/>
        <family val="2"/>
      </rPr>
      <t>Ratio (a)</t>
    </r>
  </si>
  <si>
    <t>Paid</t>
  </si>
  <si>
    <t>changes in claim settlement rates.</t>
  </si>
  <si>
    <t>(2) x (4)</t>
  </si>
  <si>
    <t>(1) + ((5) - (2))</t>
  </si>
  <si>
    <t>for Impact of SB 1160(e)</t>
  </si>
  <si>
    <t>Unadjusted (c)</t>
  </si>
  <si>
    <t>Selected (f)</t>
  </si>
  <si>
    <r>
      <rPr>
        <sz val="10"/>
        <rFont val="Arial"/>
        <family val="2"/>
      </rPr>
      <t xml:space="preserve">    </t>
    </r>
    <r>
      <rPr>
        <u/>
        <sz val="10"/>
        <rFont val="Arial"/>
        <family val="2"/>
      </rPr>
      <t>Indemnity Claim Settlement Rates (k)</t>
    </r>
  </si>
  <si>
    <t>Q. Paid Indemnity Loss Development Factors Adjusted for Changes in</t>
  </si>
  <si>
    <r>
      <rPr>
        <sz val="10"/>
        <rFont val="Arial"/>
        <family val="2"/>
      </rPr>
      <t xml:space="preserve">     </t>
    </r>
    <r>
      <rPr>
        <u/>
        <sz val="10"/>
        <rFont val="Arial"/>
        <family val="2"/>
      </rPr>
      <t>Claim Settlement Rates</t>
    </r>
    <r>
      <rPr>
        <sz val="10"/>
        <rFont val="Arial"/>
        <family val="2"/>
      </rPr>
      <t xml:space="preserve"> (k)</t>
    </r>
  </si>
  <si>
    <t>R. Paid Medical Loss Development Factors Adjusted for Changes in Indemnity</t>
  </si>
  <si>
    <t>LAE</t>
  </si>
  <si>
    <t>Exhibit 2.5.9</t>
  </si>
  <si>
    <t>Exhibit 2.5.10</t>
  </si>
  <si>
    <t>Exhibit 2.5.11</t>
  </si>
  <si>
    <t>3-Year Historical Avg.</t>
  </si>
  <si>
    <t>Exhibit 2.5.12</t>
  </si>
  <si>
    <t>Ratio of closed indemnity claim counts (Item 1) to the estimated ultimate indemnity claim counts (Item 2) for that accident year.</t>
  </si>
  <si>
    <t>Paid Loss Development Factors</t>
  </si>
  <si>
    <t>Adjusted for the Impact of Claim Settlement Rate</t>
  </si>
  <si>
    <t>Changes on Later Period Development</t>
  </si>
  <si>
    <t>Based on the latest year age-to-age development in indemnity claim counts. See Exhibit 2.5.3.</t>
  </si>
  <si>
    <t>2.  Ult. Claim Counts (a)</t>
  </si>
  <si>
    <t>3. Ultimate Indemnity Claim Settlement Ratio (b)</t>
  </si>
  <si>
    <t>4. Ratio of Incremental Closed Indemnity Claims to Estimated Prior Open Indemnity Claims (c)</t>
  </si>
  <si>
    <t>Share of Open on Prior (d)</t>
  </si>
  <si>
    <t>Equal to 1.0 minus the selected ratio of incremental closed indemnity claims to prior open indemnity claims from Item 4.</t>
  </si>
  <si>
    <t>Equal to [the difference in ultimate indemnity claim settlement ratios from the prior evaluation (Item 3)] divided by</t>
  </si>
  <si>
    <t>[1.0 less the ultimate indemnity claim settlement ratio from the prior evaluation].</t>
  </si>
  <si>
    <t>1.  Reported Closed Indemnity Claim Counts</t>
  </si>
  <si>
    <t>5.  Projected Open + IBNR Indemnity Claim Counts (e)</t>
  </si>
  <si>
    <t>…</t>
  </si>
  <si>
    <t>Equal to the Projected Open + IBNR Indemnity Claim Counts (Item 5) divided by the Ultimate Indemnity Claim Counts (Item 2).</t>
  </si>
  <si>
    <t>The italicized diagonals are based on historical data while the remaining figures are projections.</t>
  </si>
  <si>
    <t>Equal to the Ratio of Projected Open Claim Counts to Ultimate Claim Counts (Item 6) divided by the three-year historical average.</t>
  </si>
  <si>
    <t>6. Ratio of Projected Open Claim Counts to Ultimate Claim Counts (f)</t>
  </si>
  <si>
    <t>7. Ratio of Projected Percent Open to Historical Percent Open (g)</t>
  </si>
  <si>
    <t>9.  Adjustment Ratio (i)</t>
  </si>
  <si>
    <t>Age-to-Age Paid Development (in months):</t>
  </si>
  <si>
    <t>Indemnity development factors are from Exhibit 2.3.2. Medical development factors are from Exhibit 2.4.2 and include</t>
  </si>
  <si>
    <t>adjustments for SB 1160 and changes in pharmaceutical costs.</t>
  </si>
  <si>
    <t>Equal to the Ratio of Projected Percent Open to Historical Percent Open (Item 7) for the given accident year, with the</t>
  </si>
  <si>
    <t>difference from 1.0 adjusted by 40% to reflect the estimated impact of claim settlement rate changes on later period development.</t>
  </si>
  <si>
    <t>Equal to the [three year average factors (Item 8) - 1.0] multiplied by the Adjustment Ratio (Item 9), and adding 1.0.</t>
  </si>
  <si>
    <t>10.  Adjusted Factors (j)</t>
  </si>
  <si>
    <t>8.  3-Year Average (h)</t>
  </si>
  <si>
    <t>Adjusted (a)(b)</t>
  </si>
  <si>
    <t>Based on Exhibit 1.</t>
  </si>
  <si>
    <t>Based on Exhibit 1. Paid MCCP costs are excluded from accident years 2011 and subsequent.</t>
  </si>
  <si>
    <t>Cumulative (c)</t>
  </si>
  <si>
    <t>Accident Year Indemnity Claim Frequency Model</t>
  </si>
  <si>
    <t>The italicized diagonal is equal to the Ultimate Indemnity Claim Counts (Item 2) less the Reported Closed Indemnity</t>
  </si>
  <si>
    <t>Claim Counts (Item 1) as of the latest evaluation. The remaining figures are projected based on the italicized diagonal and</t>
  </si>
  <si>
    <t>the Share of Open on Prior from Item 4.</t>
  </si>
  <si>
    <t>2-Year Average</t>
  </si>
  <si>
    <t>Source:  Accident year experience of insurers with available claim count data, excluding COVID-19 claims.</t>
  </si>
  <si>
    <t>Source:  Accident year experience of insurers with available claim count and paid loss data, excluding COVID-19 claims.</t>
  </si>
  <si>
    <t>Trend**</t>
  </si>
  <si>
    <t>Selected Indemnity Severity Trend:</t>
  </si>
  <si>
    <t>Source: WCIRB quarterly experience calls, excluding COVID-19 claims.</t>
  </si>
  <si>
    <t>Level Change (b)</t>
  </si>
  <si>
    <t>Wage Level (c)</t>
  </si>
  <si>
    <t xml:space="preserve">(c) </t>
  </si>
  <si>
    <t>Reflects the WCIRB’s most recent estimates of the cost impact of legislation. Does not include the impact of the SB 1160 lien provisions on future medical costs as well as the estimated reductions to pharmaceutical costs attributable to SB 863, which are reflected in the medical loss development projections.</t>
  </si>
  <si>
    <t>per $M Exposure at PY 2020 Level</t>
  </si>
  <si>
    <t>The Indemnity Benefit Level variable is concurrent. The AY 2004 benefit level change is related to the AY 2004 change in non-cumulative frequency.</t>
  </si>
  <si>
    <t>The Indemnity Benefit Level variable excludes indemnity benefit utilization, cost-of-living adjustments, and changes in the death and permanent total benefits.</t>
  </si>
  <si>
    <t>For 1993 on, cumulative claims include both cumulative trauma and occupational disease claims. See Actuarial Committee item AC14-03-19.</t>
  </si>
  <si>
    <t>The indicator variable for Cal-OSHA inspections has been moved into an on-level adjustment. See Actuarial Committee item AC21-12-09.</t>
  </si>
  <si>
    <t>Severities for accident years 2011 and subsequent do not reflect the cost of medical cost containment programs (MCCP). Severities for accident years 2010 and prior do reflect MCCP costs.</t>
  </si>
  <si>
    <t>Estimated ultimate severities for all accident years are derived by dividing ultimate medical losses on indemnity claims by ultimate indemnity claim counts. The estimated ultimate medical severities were derived from the projected ultimate loss ratios shown in Exhibit 3.2, column (6).</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</si>
  <si>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</si>
  <si>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t>
  </si>
  <si>
    <t xml:space="preserve">   (c) Ultimate severities are on-leveled based on adjustment factors shown on Exhibit 6.3.</t>
  </si>
  <si>
    <t>These adjustment factors are based on Exhibit 4.4, excluding the impact of frequency, and including the impact of SB 1160 provisions and 2021 changes to the Official Medical Fee Schedule and Medical-Legal Fee Schedule, applicable to outstanding medical losses.</t>
  </si>
  <si>
    <t>The impact of the 2021 changes to the Official Medical Fee Schedule and Medical-Legal Fee Schedule is applied to accident years 2012 and prior, which are not reflected in the medical loss development projections.</t>
  </si>
  <si>
    <t>reported premiums were impacted by recessionary economic forces.</t>
  </si>
  <si>
    <t xml:space="preserve">Based on calculations shown on Exhibits 2.5.3 to 2.5.8. Each of these selections is calculated as the latest year paid indemnity age-to-age factor multiplied by an adjustment for </t>
  </si>
  <si>
    <t xml:space="preserve"> </t>
  </si>
  <si>
    <t>These factors are adjusted for the impact of pharmaceutical cost reductions through 2018 and the 2021 changes to the Official Medical Fee Schedule and Medical-Legal Fee Schedule in order to bring the historical payments to the current pharmaceutical and medical service cost level.</t>
  </si>
  <si>
    <t>Based on calculations shown on Exhibits 2.6.3 to 2.6.8. Each of these selections are calculated as the latest year paid medical age-to-age factor multiplied by an adjustment for changes in claim settlement rates.</t>
  </si>
  <si>
    <t>The developed medical loss ratios shown were derived based on an adjustment for pharmaceutical cost reductions and 2021 medical fee schedule changes. They are only for purposes of projecting future medical loss ratios and do not reflect true estimates of ultimate loss ratios for those accident years.</t>
  </si>
  <si>
    <t>Based on the WCIRB's evaluation of the cost impact of changes in the medical fee schedules. Does not include the impact of the 2021 changes to the Official Medical Fee Schedule and Medical-Legal Fee Schedule, which are reflected in the medical loss development projections for accident years 2013 and later.</t>
  </si>
  <si>
    <t>WCIRB quarterly experience calls, excluding COVID-19 claims and COVID-19 premium charges.</t>
  </si>
  <si>
    <t>9/1/2024</t>
  </si>
  <si>
    <t>2021*</t>
  </si>
  <si>
    <t>Regression is over AY 1979 through AY 2021, excluding 2020 and 2021. AY 2022 through AY 2025 are projections.</t>
  </si>
  <si>
    <t>Without these offsets, the indemnity benefit level and economic variables would project frequency to increase without bound.</t>
  </si>
  <si>
    <t>*AY 2021 is preliminary and change is based on a comparison of 2021 accidents on 2020 policies to 2020 accidents on 2019 policies.</t>
  </si>
  <si>
    <t>Projected Loss to Advisory Pure Premium Ratio
(See Exhibits 7.1 and 7.3)</t>
  </si>
  <si>
    <t>Based on Column (2) for 2020 through 2022 and Column (1) for all other years.</t>
  </si>
  <si>
    <t>Approved Pure</t>
  </si>
  <si>
    <t>Premium Rate</t>
  </si>
  <si>
    <t>Level as of</t>
  </si>
  <si>
    <t>to Approved</t>
  </si>
  <si>
    <t>Reflects approved advisory pure premium rate level changes to bring premium to the advisory September 1, 2022 pure premium rate level.</t>
  </si>
  <si>
    <t>(2b) ÷ (2a).  This column adjusts premiums at the industry average charged rate level to the approved advisory pure premium</t>
  </si>
  <si>
    <t>the course of two accident years.  The factor is applied only for calendar years 2007 to 2010 and 2020 to 2022, during which</t>
  </si>
  <si>
    <t>(1)x(2c)x(3)x(6) ÷ [(4)x(5)] for calendar years 2007 to 2010 and 2020 to 2022.  (1)x(2c)x(3) ÷ [(4)x(5)] for all other calendar years.</t>
  </si>
  <si>
    <t>Indemnity Loss to Pure Premium Ratios</t>
  </si>
  <si>
    <t xml:space="preserve">On-Level Indemnity Loss to Pure Premium Ratios </t>
  </si>
  <si>
    <t>Medical Loss to Pure Premium Ratios</t>
  </si>
  <si>
    <t xml:space="preserve">On-Level Medical Loss to Pure Premium Ratios </t>
  </si>
  <si>
    <t>Indicated Loss to Pure Premium Ratios</t>
  </si>
  <si>
    <t>Indicated Total Loss and Loss Adjustment Expense to Advisory Pure Premium Ratio
(1) x (2)</t>
  </si>
  <si>
    <t>* On-level indemnity to pure premium ratios (see Exhibit 7.1)</t>
  </si>
  <si>
    <t>* On-level medical to pure premium ratios (see Exhibit 7.3)</t>
  </si>
  <si>
    <t>Historical wage changes through 2021 are based on Bureau of Labor Statistics (BLS) data.  Forecasts for 2023 and forward are based on the average of wage level projections made by the UCLA Anderson School of Business as of March 2023 and those made by the California Department of Finance as of November 2022.</t>
  </si>
  <si>
    <t>Wage level changes for 2020 to 2022 were adjusted for estimated shifts in industrial mix and shifts in the wage level mix within industries impacting average wages in order to more appropriately project changes in average wages for the typical worker. For 2022, the observed estimate based on BLS average wage data was averaged with the BLS Current Employment Statistics hourly wage estimate to account for shifts in the wage level mix within industries.</t>
  </si>
  <si>
    <t>As of PY 2020 1st Set &amp; March 2023 UCLA</t>
  </si>
  <si>
    <t>The definition of cumulative claims has been further amended to include claims coded with certain nature of injury codes in USR. See Actuarial Committee</t>
  </si>
  <si>
    <t>item AC21-12-09.</t>
  </si>
  <si>
    <t>The constant term, -0.020, consists of measured offsets that recognize annual changes in real benefit levels relative to nominal benefit levels and long-term</t>
  </si>
  <si>
    <t>Economic variables are historical through 2021; March 2023 UCLA Anderson Forecasts for 2022 on.</t>
  </si>
  <si>
    <t>These impacts are based on the weekly wages (see Exhibit 5.1) of injured workers and the legislatively scheduled benefits for that year.</t>
  </si>
  <si>
    <t>Adjusted for Changes in Claim Settlement Rates, Pharmaceutical Cost Reductions and Reforms</t>
  </si>
  <si>
    <t>Selections are latest year for the 12-to-24 month through 96-to-108 month factors and six-year average for the subsequent age-to-age factors.</t>
  </si>
  <si>
    <t>The ULT/456Inc tail factor was calculated based on an inverse power curve fit to a six-year average of the 108-to-120 through 348-to-360 factors, excluding the 2016, 2017, and 2018 evaluations, and extrapolated to 80 development years.</t>
  </si>
  <si>
    <t>Selections are latest year for the 12-to-24 month through 96-to-108 month factors and three-year average for the subsequent age-to-age factors.</t>
  </si>
  <si>
    <t xml:space="preserve">The ULT/456Pd tail factor was calculated based on an inverse power curve fit to a four-year average of the 108-to-120 through 348-to-360 factors and extrapolated </t>
  </si>
  <si>
    <t>to 80 development years.</t>
  </si>
  <si>
    <t>These factors are adjusted for the impact of pharmaceutical cost reductions through 2018 and the 2021 changes to the Official Medical Fee Schedule and Medical-Legal Fee</t>
  </si>
  <si>
    <t xml:space="preserve"> Schedule in order to bring the historical payments to the current pharmaceutical and medical service cost level.</t>
  </si>
  <si>
    <t>The cumulative factor for 72 months is adjusted by -1.1% for the impact of the SB 1160 reductions in future lien filings.</t>
  </si>
  <si>
    <t xml:space="preserve">The ULT/456Pd tail factor was calculated based on an inverse power curve fit to a four-year average of the 108-to-120 through 348-to-360 adjusted factors and </t>
  </si>
  <si>
    <t>extrapolated to 80 development years.</t>
  </si>
  <si>
    <t>Selections are latest year for the 12-to-24 month through 96-to-108 month factors and three-year averages for the subsequent paid age-to-age factors.</t>
  </si>
  <si>
    <t>Adjusted for the impact of changes in claim settlement rates on later period development for 300 months and later. See Exhibits 2.5.9 through 2.5.12.</t>
  </si>
  <si>
    <t xml:space="preserve">The ULT/456Pd tail factor was calculated based on an inverse power curve fit to a four-year average of the 108-to-120 through 348-to-360 factors </t>
  </si>
  <si>
    <t>and extrapolated to 80 development years.</t>
  </si>
  <si>
    <t>Based on experience evaluated as of December 31, 2022. Reflects adjustments for the pharmaceutical cost reductions through 2018 and 2021 changes to the Official Medical Fee Schedule (OMFS) and Medical-Legal</t>
  </si>
  <si>
    <t>Fee Schedule (MLFS), restating the historical medical paid-to-date ratios at a 2018 pharmaceutical cost level and a 2021 OMFS and MLFS level.</t>
  </si>
  <si>
    <t>These factors represent the combined impact of the annual benefit changes on claim severity shown in Column (1), claim frequencies shown in Column (2) and wage inflation impact on benefits shown in Column (3), adjusted to the 9/1/2024 level.</t>
  </si>
  <si>
    <t>These factors adjust the annual impact shown in Column (3) to the 9/1/2024 level.</t>
  </si>
  <si>
    <t>rate level as of September 1, 2022.</t>
  </si>
  <si>
    <t>The trending projection is based on frequency and severity growth separately applied to the 2021 and 2022 on-level ratios. The frequency growth estimates are based on the intra-class frequency changes for accident year 2022 from Appendix B, Exhibit 2 and frequency model projections for accident years 2023 to 2025 from Exhibit 6.1. The annual indemnity severity growth estimates are from Exhibit 6.2.</t>
  </si>
  <si>
    <t>The trending projection is based on frequency and severity growth separately applied to the 2021 and 2022 on-level ratios. The frequency growth estimates are based on the intra-class frequency changes for accident year 2022 from Appendix B, Exhibit 2 and frequency model projections for accident years 2023 to 2025 from Exhibit 6.1. The annual medical severity growth estimates are from Exhibit 6.4.</t>
  </si>
  <si>
    <t>** The 9/1/2024 medical to pure premium ratio was calculated based on separate frequency and severity trends applied to the 2021 and 2022 years.</t>
  </si>
  <si>
    <t>** The 9/1/2024 indemnity to pure premium ratio was calculated based on separate frequency and severity trends applied to the 2021 and 2022 years.</t>
  </si>
  <si>
    <t>For Policies with Effective Dates between September 1, 2023 and August 31, 2024</t>
  </si>
  <si>
    <t>Difference in Off-Balance Factor
(See Part A, Section C, Appendix B of the WCIRB's September 1, 2023 Regulatory Filing)</t>
  </si>
  <si>
    <t>Accident Year Experience as of December 31, 2022</t>
  </si>
  <si>
    <t>24/12</t>
  </si>
  <si>
    <t>36/24</t>
  </si>
  <si>
    <t>48/36</t>
  </si>
  <si>
    <t>60/48</t>
  </si>
  <si>
    <t>72/60</t>
  </si>
  <si>
    <t>84/72</t>
  </si>
  <si>
    <t>96/84</t>
  </si>
  <si>
    <t>108/96</t>
  </si>
  <si>
    <t>120/108</t>
  </si>
  <si>
    <t>132/120</t>
  </si>
  <si>
    <t>144/132</t>
  </si>
  <si>
    <t>156/144</t>
  </si>
  <si>
    <t>168/156</t>
  </si>
  <si>
    <t>180/168</t>
  </si>
  <si>
    <t>192/180</t>
  </si>
  <si>
    <t>204/192</t>
  </si>
  <si>
    <t>216/204</t>
  </si>
  <si>
    <t>228/216</t>
  </si>
  <si>
    <t>240/228</t>
  </si>
  <si>
    <t>252/240</t>
  </si>
  <si>
    <t>264/252</t>
  </si>
  <si>
    <t>276/264</t>
  </si>
  <si>
    <t>288/276</t>
  </si>
  <si>
    <t>300/288</t>
  </si>
  <si>
    <t>312/300</t>
  </si>
  <si>
    <t>324/312</t>
  </si>
  <si>
    <t>336/324</t>
  </si>
  <si>
    <t>348/336</t>
  </si>
  <si>
    <t>360/348</t>
  </si>
  <si>
    <t>372/360</t>
  </si>
  <si>
    <t>384/372</t>
  </si>
  <si>
    <t>396/384</t>
  </si>
  <si>
    <t>408/396</t>
  </si>
  <si>
    <t>420/408</t>
  </si>
  <si>
    <t>432/420</t>
  </si>
  <si>
    <t>444/432</t>
  </si>
  <si>
    <t>456/444</t>
  </si>
  <si>
    <t>ULT/456Inc (b)</t>
  </si>
  <si>
    <t>ULT/456Inc (c)</t>
  </si>
  <si>
    <t>ULT/456Pd (b)</t>
  </si>
  <si>
    <t>ULT/456Pd (e)</t>
  </si>
  <si>
    <t>ULT/456Pd (d)</t>
  </si>
  <si>
    <t>ULT/456Pd (g)</t>
  </si>
  <si>
    <t>Based on Experience as of December 31, 2022</t>
  </si>
  <si>
    <t>(Annual = 2.7)</t>
  </si>
  <si>
    <t>Sept. 1, 2022 (c)</t>
  </si>
  <si>
    <t>Sept. 1, 2022 (d)</t>
  </si>
  <si>
    <t>Sept. 1, 2022</t>
  </si>
  <si>
    <t>(Annual 0.4)</t>
  </si>
  <si>
    <t>(Annual 1.6)</t>
  </si>
  <si>
    <t>(Annual 0.0%)</t>
  </si>
  <si>
    <t>(Annual 2.0%)</t>
  </si>
  <si>
    <t>Factors as noted in footnote (d):</t>
  </si>
  <si>
    <t>SB 1160</t>
  </si>
  <si>
    <t>Factors as noted in footnote (f):</t>
  </si>
  <si>
    <t>PDRS Adjustment</t>
  </si>
  <si>
    <t>w/ PDRS</t>
  </si>
  <si>
    <t>w/o PDRS</t>
  </si>
  <si>
    <t>Reform Adj - w/ Freq</t>
  </si>
  <si>
    <t>Reform Adj - w/o Freq</t>
  </si>
  <si>
    <t>PDRS weights</t>
  </si>
  <si>
    <t>economic growth. The full fitted constant term is -0.031.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</si>
</sst>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00"/>
    <numFmt numFmtId="166" formatCode="#,##0.00000"/>
    <numFmt numFmtId="167" formatCode="0.0"/>
    <numFmt numFmtId="168" formatCode="0.0%"/>
    <numFmt numFmtId="169" formatCode="0.0%\ \ \ \ \ \ \ \ "/>
    <numFmt numFmtId="170" formatCode="0.000\ \ \ \ \ \ \ \ "/>
    <numFmt numFmtId="171" formatCode="0.0000"/>
    <numFmt numFmtId="172" formatCode="General\ \ \ \ \ \ \ \ "/>
    <numFmt numFmtId="173" formatCode="#,##0.000000"/>
    <numFmt numFmtId="174" formatCode="_(* #,##0_);_(* \(#,##0\);_(* &quot;-&quot;??_);_(@_)"/>
    <numFmt numFmtId="175" formatCode="_(* #,##0.000_);_(* \(#,##0.000\);_(* &quot;-&quot;??_);_(@_)"/>
  </numFmts>
  <fonts count="28">
    <font>
      <sz val="11"/>
      <color theme="1"/>
      <name val="Calibri"/>
      <family val="2"/>
      <scheme val="minor"/>
    </font>
    <font>
      <sz val="10"/>
      <color theme="1"/>
      <name val="Arial"/>
      <family val="2"/>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sz val="10"/>
      <color theme="1"/>
      <name val="Arial"/>
      <family val="2"/>
    </font>
    <font>
      <u/>
      <sz val="10"/>
      <color theme="1"/>
      <name val="Arial"/>
      <family val="2"/>
    </font>
    <font>
      <sz val="10"/>
      <name val="Univers 55"/>
      <family val="2"/>
    </font>
    <font>
      <sz val="10"/>
      <color indexed="9"/>
      <name val="Arial"/>
      <family val="2"/>
    </font>
    <font>
      <sz val="11"/>
      <color rgb="FF0070C0"/>
      <name val="Calibri"/>
      <family val="2"/>
      <scheme val="minor"/>
    </font>
    <font>
      <sz val="11"/>
      <name val="Calibri"/>
      <family val="2"/>
      <scheme val="minor"/>
    </font>
    <font>
      <b/>
      <sz val="11"/>
      <color theme="1"/>
      <name val="Calibri"/>
      <family val="2"/>
      <scheme val="minor"/>
    </font>
    <font>
      <sz val="12"/>
      <name val="Arial"/>
      <family val="2"/>
    </font>
    <font>
      <sz val="9"/>
      <name val="Arial"/>
      <family val="2"/>
    </font>
    <font>
      <b/>
      <sz val="10"/>
      <color theme="1"/>
      <name val="Arial"/>
      <family val="2"/>
    </font>
    <font>
      <b/>
      <sz val="10"/>
      <color rgb="FFFF0000"/>
      <name val="Arial"/>
      <family val="2"/>
    </font>
    <font>
      <sz val="10"/>
      <color rgb="FF7030A0"/>
      <name val="Arial"/>
      <family val="2"/>
    </font>
    <font>
      <sz val="10"/>
      <color rgb="FF00B050"/>
      <name val="Arial"/>
      <family val="2"/>
    </font>
    <font>
      <u/>
      <sz val="11"/>
      <color theme="10"/>
      <name val="Calibri"/>
      <family val="2"/>
      <scheme val="minor"/>
    </font>
    <font>
      <i/>
      <sz val="10"/>
      <color theme="1"/>
      <name val="Arial"/>
      <family val="2"/>
    </font>
    <font>
      <i/>
      <sz val="10"/>
      <color rgb="FF0070C0"/>
      <name val="Arial"/>
      <family val="2"/>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2" fillId="0" borderId="0"/>
    <xf numFmtId="0" fontId="5"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2" fillId="0" borderId="0" applyFont="0" applyFill="0" applyBorder="0" applyAlignment="0" applyProtection="0"/>
    <xf numFmtId="0" fontId="14" fillId="0" borderId="0"/>
    <xf numFmtId="0" fontId="25" fillId="0" borderId="0" applyNumberFormat="0" applyFill="0" applyBorder="0" applyAlignment="0" applyProtection="0"/>
  </cellStyleXfs>
  <cellXfs count="539">
    <xf numFmtId="0" fontId="0" fillId="0" borderId="0" xfId="0"/>
    <xf numFmtId="0" fontId="2" fillId="0" borderId="0" xfId="1" applyFont="1" applyFill="1" applyAlignment="1">
      <alignment horizontal="center"/>
    </xf>
    <xf numFmtId="164" fontId="9" fillId="0" borderId="0" xfId="1" applyNumberFormat="1" applyFont="1" applyFill="1" applyAlignment="1">
      <alignment horizontal="center"/>
    </xf>
    <xf numFmtId="0" fontId="2" fillId="0" borderId="0" xfId="1" applyFont="1" applyFill="1" applyAlignment="1">
      <alignment horizontal="right"/>
    </xf>
    <xf numFmtId="0" fontId="4" fillId="0" borderId="0" xfId="1" applyFont="1" applyFill="1" applyAlignment="1">
      <alignment horizontal="right"/>
    </xf>
    <xf numFmtId="0" fontId="2" fillId="0" borderId="0" xfId="1" applyFont="1" applyAlignment="1">
      <alignment horizontal="right" vertical="top"/>
    </xf>
    <xf numFmtId="0" fontId="4" fillId="0" borderId="0" xfId="1" applyFont="1" applyAlignment="1">
      <alignment horizontal="center"/>
    </xf>
    <xf numFmtId="0" fontId="2" fillId="0" borderId="0" xfId="1" applyFont="1" applyAlignment="1">
      <alignment horizontal="center"/>
    </xf>
    <xf numFmtId="165" fontId="2" fillId="0" borderId="0" xfId="1" applyNumberFormat="1" applyFont="1" applyAlignment="1">
      <alignment horizontal="center"/>
    </xf>
    <xf numFmtId="0" fontId="2" fillId="0" borderId="0" xfId="1" applyFont="1" applyAlignment="1">
      <alignment horizontal="left"/>
    </xf>
    <xf numFmtId="0" fontId="2" fillId="0" borderId="0" xfId="1" applyFont="1" applyAlignment="1">
      <alignment horizontal="right"/>
    </xf>
    <xf numFmtId="165" fontId="2" fillId="0" borderId="0" xfId="1" applyNumberFormat="1" applyFont="1" applyFill="1" applyAlignment="1">
      <alignment horizontal="center"/>
    </xf>
    <xf numFmtId="0" fontId="2" fillId="0" borderId="0" xfId="1" applyFont="1" applyFill="1"/>
    <xf numFmtId="0" fontId="4" fillId="0" borderId="0" xfId="1" applyFont="1" applyFill="1" applyAlignment="1">
      <alignment horizontal="left"/>
    </xf>
    <xf numFmtId="0" fontId="4" fillId="0" borderId="0" xfId="1" applyFont="1" applyFill="1" applyAlignment="1">
      <alignment horizontal="center"/>
    </xf>
    <xf numFmtId="0" fontId="2" fillId="0" borderId="0" xfId="1" quotePrefix="1" applyFont="1" applyFill="1" applyAlignment="1">
      <alignment horizontal="right" vertical="top"/>
    </xf>
    <xf numFmtId="0" fontId="2" fillId="0" borderId="0" xfId="1" applyFont="1" applyFill="1" applyAlignment="1">
      <alignment horizontal="left"/>
    </xf>
    <xf numFmtId="165" fontId="2" fillId="0" borderId="0" xfId="1" applyNumberFormat="1" applyFont="1" applyFill="1"/>
    <xf numFmtId="0" fontId="2" fillId="0" borderId="0" xfId="1" applyFont="1" applyFill="1" applyAlignment="1">
      <alignment horizontal="right" vertical="top"/>
    </xf>
    <xf numFmtId="0" fontId="2" fillId="0" borderId="0" xfId="0" applyFont="1" applyAlignment="1">
      <alignment horizontal="centerContinuous"/>
    </xf>
    <xf numFmtId="0" fontId="4" fillId="0" borderId="0" xfId="0" applyFont="1" applyAlignment="1">
      <alignment horizontal="center"/>
    </xf>
    <xf numFmtId="0" fontId="2" fillId="0" borderId="0" xfId="0" quotePrefix="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Fill="1" applyBorder="1" applyAlignment="1">
      <alignment horizontal="center"/>
    </xf>
    <xf numFmtId="164" fontId="2" fillId="0" borderId="0" xfId="0" applyNumberFormat="1" applyFont="1" applyAlignment="1">
      <alignment horizontal="right"/>
    </xf>
    <xf numFmtId="0" fontId="2" fillId="0" borderId="0" xfId="0" applyFont="1" applyAlignment="1">
      <alignment vertical="top"/>
    </xf>
    <xf numFmtId="164" fontId="2" fillId="0" borderId="1" xfId="0" applyNumberFormat="1" applyFont="1" applyFill="1" applyBorder="1" applyAlignment="1">
      <alignment horizontal="center"/>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quotePrefix="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vertical="top"/>
    </xf>
    <xf numFmtId="10" fontId="2" fillId="0" borderId="0" xfId="5" applyNumberFormat="1" applyFont="1" applyFill="1" applyAlignment="1">
      <alignment horizontal="right"/>
    </xf>
    <xf numFmtId="0" fontId="2" fillId="0" borderId="0" xfId="0" applyFont="1" applyFill="1"/>
    <xf numFmtId="164" fontId="2" fillId="0" borderId="0" xfId="0" quotePrefix="1" applyNumberFormat="1" applyFont="1" applyAlignment="1">
      <alignment horizontal="center"/>
    </xf>
    <xf numFmtId="167" fontId="2" fillId="0" borderId="0" xfId="0" applyNumberFormat="1" applyFont="1" applyAlignment="1">
      <alignment horizontal="center"/>
    </xf>
    <xf numFmtId="0" fontId="2" fillId="0" borderId="0" xfId="0" applyFont="1" applyAlignment="1">
      <alignment horizontal="left"/>
    </xf>
    <xf numFmtId="0" fontId="2" fillId="0" borderId="0" xfId="0" applyFont="1" applyAlignment="1">
      <alignment horizontal="left" vertical="top"/>
    </xf>
    <xf numFmtId="0" fontId="2" fillId="0" borderId="0" xfId="0" applyFont="1" applyFill="1" applyAlignment="1"/>
    <xf numFmtId="164" fontId="2" fillId="0" borderId="0" xfId="0" applyNumberFormat="1" applyFont="1"/>
    <xf numFmtId="0" fontId="2" fillId="0" borderId="0" xfId="0" applyFont="1" applyAlignment="1">
      <alignment horizontal="right"/>
    </xf>
    <xf numFmtId="164" fontId="2" fillId="0" borderId="0" xfId="0" applyNumberFormat="1" applyFont="1" applyFill="1"/>
    <xf numFmtId="14" fontId="2" fillId="0" borderId="0" xfId="0" applyNumberFormat="1" applyFont="1" applyFill="1" applyAlignment="1">
      <alignment horizontal="center"/>
    </xf>
    <xf numFmtId="0" fontId="2" fillId="0" borderId="0" xfId="0" applyFont="1" applyFill="1" applyAlignment="1">
      <alignment horizontal="right" vertical="top"/>
    </xf>
    <xf numFmtId="0" fontId="2" fillId="0" borderId="0" xfId="0" quotePrefix="1" applyFont="1" applyFill="1" applyAlignment="1">
      <alignment horizontal="right" vertical="top"/>
    </xf>
    <xf numFmtId="15" fontId="4" fillId="0" borderId="0" xfId="0" applyNumberFormat="1" applyFont="1" applyAlignment="1">
      <alignment horizontal="center"/>
    </xf>
    <xf numFmtId="164" fontId="2" fillId="0" borderId="0" xfId="0" applyNumberFormat="1" applyFont="1" applyAlignment="1">
      <alignment horizontal="center" vertical="center"/>
    </xf>
    <xf numFmtId="168" fontId="2" fillId="0" borderId="0" xfId="0" applyNumberFormat="1" applyFont="1" applyFill="1"/>
    <xf numFmtId="0" fontId="2" fillId="0" borderId="0" xfId="3" applyFont="1" applyFill="1"/>
    <xf numFmtId="168" fontId="2" fillId="0" borderId="0" xfId="3" applyNumberFormat="1" applyFont="1" applyFill="1"/>
    <xf numFmtId="0" fontId="2" fillId="0" borderId="0" xfId="0" applyFont="1" applyProtection="1">
      <protection locked="0" hidden="1"/>
    </xf>
    <xf numFmtId="164" fontId="2" fillId="0" borderId="0" xfId="1" applyNumberFormat="1" applyFont="1" applyFill="1" applyAlignment="1">
      <alignment horizontal="center"/>
    </xf>
    <xf numFmtId="164" fontId="4" fillId="0" borderId="0" xfId="1" applyNumberFormat="1" applyFont="1" applyFill="1" applyAlignment="1">
      <alignment horizontal="center"/>
    </xf>
    <xf numFmtId="0" fontId="12" fillId="0" borderId="0" xfId="0" applyFont="1"/>
    <xf numFmtId="0" fontId="12" fillId="0" borderId="0" xfId="0" applyFont="1" applyFill="1"/>
    <xf numFmtId="164" fontId="2" fillId="0" borderId="0" xfId="0" applyNumberFormat="1" applyFont="1" applyFill="1" applyAlignment="1" applyProtection="1">
      <alignment horizontal="center"/>
      <protection locked="0" hidden="1"/>
    </xf>
    <xf numFmtId="0" fontId="2" fillId="0" borderId="0" xfId="0" applyFont="1" applyFill="1" applyBorder="1" applyAlignment="1">
      <alignment horizontal="center"/>
    </xf>
    <xf numFmtId="1" fontId="2" fillId="0" borderId="0" xfId="1" applyNumberFormat="1" applyFont="1" applyFill="1" applyAlignment="1">
      <alignment horizontal="center"/>
    </xf>
    <xf numFmtId="0" fontId="3" fillId="0" borderId="0" xfId="1" applyFont="1" applyAlignment="1">
      <alignment horizontal="center" wrapText="1"/>
    </xf>
    <xf numFmtId="0" fontId="2" fillId="0" borderId="0" xfId="1" applyFont="1" applyAlignment="1"/>
    <xf numFmtId="0" fontId="2" fillId="0" borderId="0" xfId="1" applyFont="1"/>
    <xf numFmtId="164" fontId="12" fillId="0" borderId="0" xfId="0" applyNumberFormat="1" applyFont="1" applyFill="1"/>
    <xf numFmtId="0" fontId="2" fillId="0" borderId="8" xfId="0" applyFont="1" applyFill="1" applyBorder="1" applyAlignment="1">
      <alignment horizontal="center"/>
    </xf>
    <xf numFmtId="0" fontId="2" fillId="0" borderId="2" xfId="0" applyFont="1" applyBorder="1"/>
    <xf numFmtId="0" fontId="2" fillId="0" borderId="0" xfId="1" applyFont="1"/>
    <xf numFmtId="166" fontId="2" fillId="0" borderId="0" xfId="1" applyNumberFormat="1" applyFont="1" applyFill="1" applyAlignment="1">
      <alignment horizontal="center"/>
    </xf>
    <xf numFmtId="0" fontId="2" fillId="0" borderId="0" xfId="1" applyFont="1"/>
    <xf numFmtId="0" fontId="4" fillId="0" borderId="0" xfId="0" applyFont="1" applyFill="1" applyAlignment="1">
      <alignment horizontal="right"/>
    </xf>
    <xf numFmtId="174" fontId="2" fillId="0" borderId="0" xfId="6" applyNumberFormat="1" applyFont="1" applyFill="1" applyAlignment="1">
      <alignment horizontal="distributed"/>
    </xf>
    <xf numFmtId="3" fontId="2" fillId="0" borderId="0" xfId="0" applyNumberFormat="1" applyFont="1" applyFill="1" applyBorder="1"/>
    <xf numFmtId="0" fontId="0" fillId="0" borderId="0" xfId="0" applyAlignment="1"/>
    <xf numFmtId="0" fontId="2" fillId="0" borderId="0" xfId="0" applyFont="1" applyAlignment="1"/>
    <xf numFmtId="0" fontId="2" fillId="0" borderId="0" xfId="1" applyFont="1" applyAlignment="1"/>
    <xf numFmtId="0" fontId="12" fillId="0" borderId="0" xfId="0" applyFont="1" applyAlignment="1"/>
    <xf numFmtId="0" fontId="2" fillId="0" borderId="0" xfId="1" applyFont="1" applyFill="1" applyAlignment="1">
      <alignment horizontal="left" vertical="top"/>
    </xf>
    <xf numFmtId="0" fontId="16" fillId="0" borderId="0" xfId="0" applyFont="1"/>
    <xf numFmtId="3" fontId="2" fillId="0" borderId="0" xfId="5" applyNumberFormat="1" applyFont="1" applyFill="1"/>
    <xf numFmtId="0" fontId="3" fillId="0" borderId="0" xfId="1" applyFont="1" applyAlignment="1">
      <alignment horizontal="center" wrapText="1"/>
    </xf>
    <xf numFmtId="0" fontId="2" fillId="0" borderId="0" xfId="1" applyFont="1"/>
    <xf numFmtId="0" fontId="2" fillId="0" borderId="0" xfId="1" applyFont="1" applyAlignment="1">
      <alignment vertical="top"/>
    </xf>
    <xf numFmtId="14" fontId="2" fillId="0" borderId="0" xfId="0" applyNumberFormat="1" applyFont="1" applyAlignment="1">
      <alignment horizontal="center"/>
    </xf>
    <xf numFmtId="0" fontId="2" fillId="0" borderId="0" xfId="1" applyFont="1" applyFill="1" applyAlignment="1">
      <alignment vertical="justify"/>
    </xf>
    <xf numFmtId="0" fontId="2" fillId="0" borderId="0" xfId="0" applyFont="1"/>
    <xf numFmtId="1" fontId="2" fillId="0" borderId="1" xfId="1" applyNumberFormat="1" applyFont="1" applyFill="1" applyBorder="1" applyAlignment="1">
      <alignment horizontal="center"/>
    </xf>
    <xf numFmtId="0" fontId="12" fillId="0" borderId="0" xfId="0" applyFont="1" applyFill="1" applyAlignment="1">
      <alignment horizontal="right"/>
    </xf>
    <xf numFmtId="0" fontId="0" fillId="0" borderId="0" xfId="0" applyFill="1" applyBorder="1" applyAlignment="1"/>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xf numFmtId="0" fontId="0" fillId="0" borderId="0" xfId="0" applyBorder="1"/>
    <xf numFmtId="167" fontId="2" fillId="0" borderId="0" xfId="0" applyNumberFormat="1" applyFont="1" applyFill="1" applyAlignment="1">
      <alignment horizontal="right"/>
    </xf>
    <xf numFmtId="0" fontId="9" fillId="0" borderId="0" xfId="0" applyFont="1"/>
    <xf numFmtId="167" fontId="2" fillId="0" borderId="0" xfId="0" applyNumberFormat="1" applyFont="1" applyFill="1" applyAlignment="1">
      <alignment horizontal="center"/>
    </xf>
    <xf numFmtId="0" fontId="3" fillId="0" borderId="0" xfId="0" applyNumberFormat="1" applyFont="1" applyAlignment="1">
      <alignment horizontal="centerContinuous"/>
    </xf>
    <xf numFmtId="0" fontId="19" fillId="0" borderId="0" xfId="0" applyFont="1" applyBorder="1" applyAlignment="1">
      <alignment horizontal="centerContinuous"/>
    </xf>
    <xf numFmtId="171" fontId="2" fillId="0" borderId="0" xfId="0" applyNumberFormat="1" applyFont="1" applyAlignment="1">
      <alignment horizontal="centerContinuous"/>
    </xf>
    <xf numFmtId="164" fontId="7" fillId="0" borderId="0" xfId="0" applyNumberFormat="1" applyFont="1" applyAlignment="1">
      <alignment horizontal="right"/>
    </xf>
    <xf numFmtId="0" fontId="2" fillId="0" borderId="0" xfId="0" applyFont="1"/>
    <xf numFmtId="0" fontId="2" fillId="0" borderId="0" xfId="1" applyFont="1"/>
    <xf numFmtId="0" fontId="2" fillId="0" borderId="0" xfId="0" applyFont="1" applyAlignment="1">
      <alignment horizontal="center"/>
    </xf>
    <xf numFmtId="0" fontId="12" fillId="0" borderId="0" xfId="7" applyFont="1"/>
    <xf numFmtId="0" fontId="12" fillId="0" borderId="0" xfId="7" applyFont="1" applyAlignment="1">
      <alignment horizontal="center"/>
    </xf>
    <xf numFmtId="164" fontId="2" fillId="0" borderId="0" xfId="7" applyNumberFormat="1" applyFont="1" applyFill="1" applyBorder="1" applyAlignment="1">
      <alignment horizontal="center"/>
    </xf>
    <xf numFmtId="3" fontId="11" fillId="0" borderId="0" xfId="0" applyNumberFormat="1" applyFont="1" applyFill="1" applyBorder="1"/>
    <xf numFmtId="0" fontId="2" fillId="0" borderId="0" xfId="0" applyFont="1" applyFill="1" applyBorder="1"/>
    <xf numFmtId="0" fontId="2" fillId="0" borderId="0" xfId="0" applyFont="1" applyFill="1" applyBorder="1" applyAlignment="1">
      <alignment vertical="top" wrapText="1"/>
    </xf>
    <xf numFmtId="0" fontId="0" fillId="0" borderId="0" xfId="0" applyFill="1" applyBorder="1"/>
    <xf numFmtId="165" fontId="2" fillId="0" borderId="0" xfId="0" applyNumberFormat="1" applyFont="1" applyFill="1" applyBorder="1"/>
    <xf numFmtId="168" fontId="2" fillId="0" borderId="0" xfId="5" applyNumberFormat="1" applyFont="1" applyFill="1" applyBorder="1"/>
    <xf numFmtId="168" fontId="11" fillId="0" borderId="0" xfId="5" applyNumberFormat="1" applyFont="1" applyFill="1" applyBorder="1"/>
    <xf numFmtId="0" fontId="2" fillId="0" borderId="0" xfId="0" applyFont="1" applyFill="1" applyBorder="1" applyAlignment="1">
      <alignment horizontal="right" vertical="top"/>
    </xf>
    <xf numFmtId="168" fontId="2" fillId="0" borderId="9" xfId="4" applyNumberFormat="1" applyFont="1" applyFill="1" applyBorder="1" applyAlignment="1">
      <alignment horizontal="center" vertical="center"/>
    </xf>
    <xf numFmtId="0" fontId="0" fillId="0" borderId="0" xfId="0" applyAlignment="1"/>
    <xf numFmtId="0" fontId="4" fillId="0" borderId="0" xfId="0" applyFont="1" applyFill="1"/>
    <xf numFmtId="0" fontId="4" fillId="0" borderId="0" xfId="0" applyFont="1" applyFill="1" applyAlignment="1"/>
    <xf numFmtId="164" fontId="2" fillId="0" borderId="0" xfId="0" applyNumberFormat="1" applyFont="1" applyFill="1" applyAlignment="1">
      <alignment horizontal="right"/>
    </xf>
    <xf numFmtId="164" fontId="2" fillId="0" borderId="0" xfId="0" applyNumberFormat="1" applyFont="1" applyFill="1" applyBorder="1" applyAlignment="1">
      <alignment horizontal="right"/>
    </xf>
    <xf numFmtId="0" fontId="3" fillId="0" borderId="0" xfId="0" applyFont="1"/>
    <xf numFmtId="0" fontId="3" fillId="0" borderId="0" xfId="0" applyFont="1" applyFill="1" applyAlignment="1">
      <alignment horizontal="centerContinuous"/>
    </xf>
    <xf numFmtId="0" fontId="2" fillId="0" borderId="0" xfId="0" applyFont="1" applyFill="1" applyAlignment="1">
      <alignment horizontal="left"/>
    </xf>
    <xf numFmtId="0" fontId="2" fillId="0" borderId="1" xfId="0" applyFont="1" applyFill="1" applyBorder="1" applyAlignment="1">
      <alignment horizontal="centerContinuous"/>
    </xf>
    <xf numFmtId="3" fontId="2" fillId="0" borderId="0" xfId="0" applyNumberFormat="1" applyFont="1" applyFill="1"/>
    <xf numFmtId="0" fontId="4" fillId="0" borderId="0" xfId="0" applyFont="1" applyFill="1" applyAlignment="1">
      <alignment horizontal="left"/>
    </xf>
    <xf numFmtId="0" fontId="2" fillId="0" borderId="0" xfId="0" applyFont="1" applyFill="1" applyAlignment="1">
      <alignment horizontal="left" vertical="top"/>
    </xf>
    <xf numFmtId="0" fontId="3" fillId="0" borderId="0" xfId="1" applyFont="1" applyFill="1" applyAlignment="1">
      <alignment horizontal="center" wrapText="1"/>
    </xf>
    <xf numFmtId="0" fontId="4" fillId="0" borderId="0" xfId="1" applyFont="1" applyFill="1" applyAlignment="1">
      <alignment horizontal="left" indent="3"/>
    </xf>
    <xf numFmtId="0" fontId="2" fillId="0" borderId="0" xfId="1" applyFont="1"/>
    <xf numFmtId="0" fontId="2" fillId="0" borderId="0" xfId="0" applyFont="1"/>
    <xf numFmtId="1" fontId="2" fillId="0" borderId="0" xfId="1" applyNumberFormat="1" applyFont="1" applyFill="1" applyBorder="1" applyAlignment="1">
      <alignment horizontal="center"/>
    </xf>
    <xf numFmtId="0" fontId="2" fillId="0" borderId="0" xfId="0" applyFont="1"/>
    <xf numFmtId="0" fontId="2" fillId="0" borderId="0" xfId="1" applyFont="1"/>
    <xf numFmtId="0" fontId="2" fillId="0" borderId="0" xfId="0" applyFont="1"/>
    <xf numFmtId="164" fontId="3" fillId="0" borderId="0" xfId="0" applyNumberFormat="1" applyFont="1" applyFill="1" applyAlignment="1">
      <alignment horizontal="centerContinuous"/>
    </xf>
    <xf numFmtId="0" fontId="3" fillId="0" borderId="0" xfId="1" applyFont="1" applyAlignment="1">
      <alignment horizontal="centerContinuous" wrapText="1"/>
    </xf>
    <xf numFmtId="0" fontId="12" fillId="0" borderId="0" xfId="0" applyFont="1" applyAlignment="1">
      <alignment horizontal="centerContinuous"/>
    </xf>
    <xf numFmtId="0" fontId="12" fillId="0" borderId="0" xfId="0" applyFont="1" applyBorder="1" applyAlignment="1">
      <alignment horizontal="centerContinuous"/>
    </xf>
    <xf numFmtId="0" fontId="3" fillId="0" borderId="0" xfId="1" applyFont="1" applyFill="1" applyAlignment="1">
      <alignment horizontal="centerContinuous" wrapText="1"/>
    </xf>
    <xf numFmtId="0" fontId="3" fillId="0" borderId="0" xfId="0" applyFont="1" applyAlignment="1">
      <alignment horizontal="centerContinuous"/>
    </xf>
    <xf numFmtId="0" fontId="2" fillId="0" borderId="1" xfId="1" applyFont="1" applyFill="1" applyBorder="1" applyAlignment="1">
      <alignment horizontal="centerContinuous"/>
    </xf>
    <xf numFmtId="0" fontId="0" fillId="0" borderId="0" xfId="0" applyAlignment="1">
      <alignment horizontal="left" vertical="top"/>
    </xf>
    <xf numFmtId="164" fontId="2" fillId="0" borderId="0" xfId="0" quotePrefix="1" applyNumberFormat="1" applyFont="1" applyFill="1" applyAlignment="1">
      <alignment horizontal="center"/>
    </xf>
    <xf numFmtId="0" fontId="2" fillId="0" borderId="0" xfId="0" applyFont="1" applyAlignment="1">
      <alignment horizontal="center"/>
    </xf>
    <xf numFmtId="164" fontId="9" fillId="0" borderId="0" xfId="0" applyNumberFormat="1" applyFont="1" applyFill="1" applyAlignment="1">
      <alignment horizontal="center"/>
    </xf>
    <xf numFmtId="168" fontId="11" fillId="0" borderId="0" xfId="0" applyNumberFormat="1" applyFont="1" applyFill="1"/>
    <xf numFmtId="0" fontId="4" fillId="0" borderId="0" xfId="0" applyFont="1" applyFill="1" applyBorder="1" applyAlignment="1">
      <alignment horizontal="center"/>
    </xf>
    <xf numFmtId="168" fontId="2" fillId="0" borderId="0" xfId="0" applyNumberFormat="1" applyFont="1" applyFill="1" applyAlignment="1">
      <alignment horizontal="right" indent="3"/>
    </xf>
    <xf numFmtId="0" fontId="2" fillId="0" borderId="0" xfId="0" applyFont="1" applyFill="1" applyAlignment="1">
      <alignment horizontal="right" indent="3"/>
    </xf>
    <xf numFmtId="168" fontId="2" fillId="0" borderId="0" xfId="0" applyNumberFormat="1" applyFont="1" applyFill="1" applyBorder="1" applyAlignment="1">
      <alignment horizontal="right" indent="3"/>
    </xf>
    <xf numFmtId="0" fontId="2" fillId="0" borderId="0" xfId="0" applyFont="1" applyFill="1" applyBorder="1" applyAlignment="1">
      <alignment horizontal="right" indent="3"/>
    </xf>
    <xf numFmtId="0" fontId="2" fillId="0" borderId="0" xfId="0" quotePrefix="1" applyFont="1" applyFill="1" applyAlignment="1">
      <alignment horizontal="center" vertical="top" wrapText="1"/>
    </xf>
    <xf numFmtId="0" fontId="2" fillId="0" borderId="0" xfId="0" applyFont="1" applyFill="1" applyBorder="1" applyAlignment="1">
      <alignment horizontal="left"/>
    </xf>
    <xf numFmtId="164" fontId="11" fillId="0" borderId="0" xfId="0" applyNumberFormat="1" applyFont="1" applyFill="1" applyAlignment="1">
      <alignment horizontal="center"/>
    </xf>
    <xf numFmtId="0" fontId="2" fillId="0" borderId="0" xfId="0" applyFont="1" applyFill="1" applyAlignment="1">
      <alignment vertical="top"/>
    </xf>
    <xf numFmtId="168" fontId="2" fillId="0" borderId="0" xfId="0" applyNumberFormat="1" applyFont="1" applyFill="1" applyAlignment="1">
      <alignment horizontal="center"/>
    </xf>
    <xf numFmtId="168" fontId="2" fillId="0" borderId="0" xfId="0" applyNumberFormat="1" applyFont="1" applyFill="1" applyAlignment="1">
      <alignment horizontal="right"/>
    </xf>
    <xf numFmtId="0" fontId="9" fillId="0" borderId="0" xfId="0" applyFont="1" applyFill="1"/>
    <xf numFmtId="164" fontId="24" fillId="0" borderId="0" xfId="0" applyNumberFormat="1" applyFont="1" applyFill="1" applyAlignment="1">
      <alignment horizontal="center"/>
    </xf>
    <xf numFmtId="3" fontId="2" fillId="0" borderId="0" xfId="3" applyNumberFormat="1" applyFont="1" applyFill="1"/>
    <xf numFmtId="167" fontId="24" fillId="0" borderId="0" xfId="0" applyNumberFormat="1" applyFont="1" applyFill="1" applyAlignment="1">
      <alignment horizontal="center"/>
    </xf>
    <xf numFmtId="165" fontId="2" fillId="0" borderId="0" xfId="0" applyNumberFormat="1" applyFont="1" applyFill="1"/>
    <xf numFmtId="10" fontId="2" fillId="0" borderId="0" xfId="4" applyNumberFormat="1" applyFont="1" applyFill="1"/>
    <xf numFmtId="164" fontId="3" fillId="0" borderId="0" xfId="1" applyNumberFormat="1" applyFont="1" applyFill="1" applyAlignment="1">
      <alignment horizontal="centerContinuous"/>
    </xf>
    <xf numFmtId="0" fontId="2" fillId="0" borderId="0" xfId="0" applyFont="1"/>
    <xf numFmtId="0" fontId="2" fillId="0" borderId="0" xfId="1" applyFont="1"/>
    <xf numFmtId="0" fontId="2" fillId="0" borderId="0" xfId="0" applyFont="1" applyBorder="1" applyAlignment="1">
      <alignment horizontal="center"/>
    </xf>
    <xf numFmtId="168" fontId="11" fillId="0" borderId="1" xfId="0" applyNumberFormat="1" applyFont="1" applyFill="1" applyBorder="1" applyAlignment="1" applyProtection="1">
      <alignment horizontal="center"/>
      <protection locked="0" hidden="1"/>
    </xf>
    <xf numFmtId="168" fontId="11" fillId="0" borderId="0" xfId="5" applyNumberFormat="1" applyFont="1" applyFill="1" applyAlignment="1">
      <alignment horizontal="center" vertical="top" wrapText="1"/>
    </xf>
    <xf numFmtId="0" fontId="2" fillId="0" borderId="0" xfId="0" applyFont="1"/>
    <xf numFmtId="0" fontId="2" fillId="0" borderId="0" xfId="0" applyFont="1"/>
    <xf numFmtId="0" fontId="2" fillId="0" borderId="0" xfId="0" applyFont="1"/>
    <xf numFmtId="15" fontId="9" fillId="0" borderId="0" xfId="0" quotePrefix="1" applyNumberFormat="1" applyFont="1" applyAlignment="1">
      <alignment horizontal="center"/>
    </xf>
    <xf numFmtId="165" fontId="2" fillId="0" borderId="0" xfId="1" quotePrefix="1" applyNumberFormat="1" applyFont="1" applyFill="1" applyAlignment="1">
      <alignment horizontal="center"/>
    </xf>
    <xf numFmtId="0" fontId="2" fillId="0" borderId="0" xfId="0" applyFont="1"/>
    <xf numFmtId="0" fontId="17" fillId="0" borderId="0" xfId="0" applyFont="1" applyAlignment="1">
      <alignment vertical="top"/>
    </xf>
    <xf numFmtId="0" fontId="2" fillId="0" borderId="0" xfId="0" applyFont="1"/>
    <xf numFmtId="0" fontId="2" fillId="0" borderId="0" xfId="1" applyFont="1"/>
    <xf numFmtId="0" fontId="0" fillId="0" borderId="0" xfId="0" applyAlignment="1">
      <alignment vertical="top"/>
    </xf>
    <xf numFmtId="165" fontId="2" fillId="0" borderId="0" xfId="1" applyNumberFormat="1" applyFont="1" applyAlignment="1"/>
    <xf numFmtId="0" fontId="2" fillId="0" borderId="0" xfId="1" applyFont="1" applyFill="1" applyAlignment="1">
      <alignment horizontal="left" vertical="justify"/>
    </xf>
    <xf numFmtId="0" fontId="2" fillId="0" borderId="0" xfId="0" applyFont="1"/>
    <xf numFmtId="164" fontId="13" fillId="0" borderId="6" xfId="0" applyNumberFormat="1" applyFont="1" applyFill="1" applyBorder="1" applyAlignment="1">
      <alignment horizontal="center"/>
    </xf>
    <xf numFmtId="0" fontId="13" fillId="0" borderId="2" xfId="0" applyFont="1" applyFill="1" applyBorder="1" applyAlignment="1">
      <alignment horizontal="center"/>
    </xf>
    <xf numFmtId="0" fontId="13" fillId="0" borderId="7" xfId="0" applyFont="1" applyFill="1" applyBorder="1" applyAlignment="1">
      <alignment horizontal="center"/>
    </xf>
    <xf numFmtId="168" fontId="12" fillId="0" borderId="9" xfId="4" applyNumberFormat="1" applyFont="1" applyFill="1" applyBorder="1" applyAlignment="1">
      <alignment horizontal="center"/>
    </xf>
    <xf numFmtId="0" fontId="2" fillId="0" borderId="10" xfId="0" applyFont="1" applyFill="1" applyBorder="1" applyAlignment="1">
      <alignment horizontal="center"/>
    </xf>
    <xf numFmtId="168" fontId="12" fillId="0" borderId="11" xfId="4" applyNumberFormat="1" applyFont="1" applyFill="1" applyBorder="1" applyAlignment="1">
      <alignment horizontal="center"/>
    </xf>
    <xf numFmtId="167" fontId="2" fillId="0" borderId="0" xfId="0" applyNumberFormat="1" applyFont="1" applyFill="1"/>
    <xf numFmtId="0" fontId="9" fillId="0" borderId="0" xfId="0" applyFont="1" applyFill="1" applyAlignment="1">
      <alignment horizontal="center"/>
    </xf>
    <xf numFmtId="2" fontId="2" fillId="0" borderId="0" xfId="0" applyNumberFormat="1" applyFont="1" applyFill="1"/>
    <xf numFmtId="0" fontId="12" fillId="0" borderId="0" xfId="0" applyFont="1" applyFill="1" applyAlignment="1">
      <alignment horizontal="centerContinuous"/>
    </xf>
    <xf numFmtId="0" fontId="2" fillId="0" borderId="0" xfId="0" applyFont="1" applyFill="1" applyAlignment="1">
      <alignment horizontal="center" wrapText="1"/>
    </xf>
    <xf numFmtId="0" fontId="4" fillId="0" borderId="0" xfId="0" applyFont="1" applyFill="1" applyAlignment="1">
      <alignment horizontal="center" wrapText="1"/>
    </xf>
    <xf numFmtId="164" fontId="7" fillId="0" borderId="0" xfId="0" applyNumberFormat="1" applyFont="1" applyFill="1" applyAlignment="1">
      <alignment horizontal="center"/>
    </xf>
    <xf numFmtId="0" fontId="2" fillId="0" borderId="0" xfId="0" applyFont="1" applyFill="1" applyAlignment="1">
      <alignment horizontal="justify" vertical="justify"/>
    </xf>
    <xf numFmtId="0" fontId="12" fillId="0" borderId="0" xfId="0" applyFont="1" applyFill="1" applyAlignment="1">
      <alignment wrapText="1"/>
    </xf>
    <xf numFmtId="0" fontId="2" fillId="0" borderId="0" xfId="0" applyFont="1" applyFill="1" applyAlignment="1">
      <alignment horizontal="right"/>
    </xf>
    <xf numFmtId="175" fontId="24" fillId="0" borderId="0" xfId="6" applyNumberFormat="1" applyFont="1" applyFill="1"/>
    <xf numFmtId="0" fontId="17" fillId="0" borderId="0" xfId="0" applyFont="1" applyFill="1" applyAlignment="1">
      <alignment vertical="top"/>
    </xf>
    <xf numFmtId="0" fontId="12" fillId="0" borderId="0" xfId="0" applyFont="1" applyFill="1" applyAlignment="1">
      <alignment horizontal="left"/>
    </xf>
    <xf numFmtId="0" fontId="0" fillId="0" borderId="0" xfId="0" applyFill="1"/>
    <xf numFmtId="0" fontId="9" fillId="0" borderId="0" xfId="0" applyFont="1" applyFill="1" applyAlignment="1">
      <alignment horizontal="left"/>
    </xf>
    <xf numFmtId="174" fontId="24" fillId="0" borderId="0" xfId="6" applyNumberFormat="1" applyFont="1" applyFill="1" applyAlignment="1">
      <alignment horizontal="distributed"/>
    </xf>
    <xf numFmtId="0" fontId="12" fillId="0" borderId="0" xfId="0" applyFont="1" applyFill="1" applyBorder="1" applyAlignment="1">
      <alignment horizontal="center"/>
    </xf>
    <xf numFmtId="0" fontId="2" fillId="0" borderId="2" xfId="0" applyFont="1" applyFill="1" applyBorder="1" applyAlignment="1">
      <alignment horizontal="center"/>
    </xf>
    <xf numFmtId="0" fontId="22" fillId="0" borderId="0" xfId="0" applyFont="1" applyFill="1" applyAlignment="1" applyProtection="1">
      <alignment horizontal="left"/>
      <protection locked="0" hidden="1"/>
    </xf>
    <xf numFmtId="0" fontId="2" fillId="0" borderId="0" xfId="0" applyFont="1"/>
    <xf numFmtId="170" fontId="2" fillId="0" borderId="0" xfId="0" applyNumberFormat="1" applyFont="1"/>
    <xf numFmtId="0" fontId="2" fillId="0" borderId="0" xfId="0" applyFont="1"/>
    <xf numFmtId="0" fontId="12" fillId="0" borderId="0" xfId="0" applyFont="1" applyFill="1" applyBorder="1" applyAlignment="1">
      <alignment horizontal="centerContinuous"/>
    </xf>
    <xf numFmtId="0" fontId="2" fillId="0" borderId="0" xfId="1" applyFont="1" applyFill="1" applyAlignment="1">
      <alignment horizontal="center"/>
    </xf>
    <xf numFmtId="0" fontId="2" fillId="0" borderId="0" xfId="0" applyFont="1"/>
    <xf numFmtId="165" fontId="2" fillId="0" borderId="0" xfId="1" applyNumberFormat="1" applyFont="1" applyFill="1" applyAlignment="1">
      <alignment horizontal="center"/>
    </xf>
    <xf numFmtId="0" fontId="4" fillId="0" borderId="0" xfId="1" applyFont="1" applyFill="1" applyAlignment="1">
      <alignment horizontal="center"/>
    </xf>
    <xf numFmtId="0" fontId="2" fillId="0" borderId="0" xfId="1" applyFont="1" applyFill="1" applyAlignment="1">
      <alignment horizontal="left"/>
    </xf>
    <xf numFmtId="0" fontId="2" fillId="0" borderId="0" xfId="0" applyFont="1" applyFill="1"/>
    <xf numFmtId="173" fontId="2" fillId="0" borderId="0" xfId="1" applyNumberFormat="1" applyFont="1" applyFill="1" applyAlignment="1">
      <alignment horizontal="center"/>
    </xf>
    <xf numFmtId="0" fontId="3" fillId="0" borderId="0" xfId="1" applyFont="1" applyFill="1" applyAlignment="1">
      <alignment horizontal="centerContinuous" wrapText="1"/>
    </xf>
    <xf numFmtId="0" fontId="2" fillId="0" borderId="1" xfId="1" applyFont="1" applyFill="1" applyBorder="1" applyAlignment="1">
      <alignment horizontal="centerContinuous"/>
    </xf>
    <xf numFmtId="0" fontId="2" fillId="0" borderId="0" xfId="1" applyFont="1" applyFill="1" applyBorder="1" applyAlignment="1">
      <alignment horizontal="centerContinuous"/>
    </xf>
    <xf numFmtId="165" fontId="9" fillId="0" borderId="0" xfId="1" applyNumberFormat="1" applyFont="1" applyFill="1" applyAlignment="1">
      <alignment horizontal="center"/>
    </xf>
    <xf numFmtId="0" fontId="2" fillId="0" borderId="0" xfId="1" applyFont="1" applyFill="1" applyAlignment="1">
      <alignment vertical="top"/>
    </xf>
    <xf numFmtId="0" fontId="3" fillId="0" borderId="0" xfId="1" applyFont="1" applyFill="1" applyAlignment="1">
      <alignment horizontal="centerContinuous"/>
    </xf>
    <xf numFmtId="0" fontId="6" fillId="0" borderId="0" xfId="1" applyFont="1" applyFill="1" applyAlignment="1">
      <alignment horizontal="center"/>
    </xf>
    <xf numFmtId="0" fontId="2" fillId="0" borderId="0" xfId="1" applyFont="1" applyFill="1" applyAlignment="1"/>
    <xf numFmtId="0" fontId="2" fillId="0" borderId="1" xfId="0" applyFont="1" applyBorder="1" applyAlignment="1">
      <alignment horizontal="center"/>
    </xf>
    <xf numFmtId="0" fontId="2" fillId="0" borderId="0" xfId="0" applyFont="1"/>
    <xf numFmtId="0" fontId="19" fillId="0" borderId="0" xfId="0" applyFont="1" applyAlignment="1">
      <alignment horizontal="centerContinuous"/>
    </xf>
    <xf numFmtId="0" fontId="2" fillId="0" borderId="3" xfId="0" applyFont="1" applyBorder="1" applyAlignment="1">
      <alignment horizontal="centerContinuous"/>
    </xf>
    <xf numFmtId="0" fontId="2" fillId="0" borderId="3" xfId="0" applyFont="1" applyBorder="1" applyAlignment="1">
      <alignment horizontal="center"/>
    </xf>
    <xf numFmtId="0" fontId="2" fillId="0" borderId="4" xfId="0" applyFont="1" applyBorder="1" applyAlignment="1">
      <alignment horizontal="center"/>
    </xf>
    <xf numFmtId="0" fontId="20" fillId="0" borderId="1" xfId="0" applyFont="1" applyBorder="1" applyAlignment="1">
      <alignment horizontal="center"/>
    </xf>
    <xf numFmtId="172" fontId="2" fillId="0" borderId="0" xfId="0" applyNumberFormat="1" applyFont="1"/>
    <xf numFmtId="0" fontId="11" fillId="0" borderId="0" xfId="0" applyFont="1" applyFill="1" applyAlignment="1">
      <alignment horizontal="center"/>
    </xf>
    <xf numFmtId="14" fontId="9" fillId="0" borderId="0" xfId="0" applyNumberFormat="1" applyFont="1" applyFill="1" applyAlignment="1">
      <alignment horizontal="center"/>
    </xf>
    <xf numFmtId="168" fontId="12" fillId="0" borderId="0" xfId="0" applyNumberFormat="1" applyFont="1" applyFill="1" applyBorder="1" applyAlignment="1">
      <alignment horizontal="center"/>
    </xf>
    <xf numFmtId="0" fontId="2" fillId="0" borderId="0" xfId="3" applyFont="1" applyFill="1" applyAlignment="1">
      <alignment horizontal="right"/>
    </xf>
    <xf numFmtId="3" fontId="24" fillId="0" borderId="0" xfId="0" applyNumberFormat="1" applyFont="1" applyFill="1"/>
    <xf numFmtId="0" fontId="2" fillId="0" borderId="0" xfId="0" applyFont="1" applyFill="1" applyAlignment="1">
      <alignment horizontal="right" vertical="center" readingOrder="1"/>
    </xf>
    <xf numFmtId="0" fontId="1" fillId="0" borderId="0" xfId="0" applyFont="1" applyFill="1"/>
    <xf numFmtId="167" fontId="9" fillId="0" borderId="0" xfId="0" applyNumberFormat="1" applyFont="1" applyFill="1" applyAlignment="1">
      <alignment horizontal="center"/>
    </xf>
    <xf numFmtId="164" fontId="1" fillId="0" borderId="0" xfId="7" applyNumberFormat="1" applyFont="1" applyFill="1" applyAlignment="1">
      <alignment horizontal="center"/>
    </xf>
    <xf numFmtId="164" fontId="2" fillId="0" borderId="0" xfId="7" applyNumberFormat="1" applyFont="1" applyFill="1" applyAlignment="1">
      <alignment horizontal="center"/>
    </xf>
    <xf numFmtId="164" fontId="3" fillId="0" borderId="0" xfId="7" applyNumberFormat="1" applyFont="1" applyFill="1" applyAlignment="1">
      <alignment horizontal="center"/>
    </xf>
    <xf numFmtId="0" fontId="2" fillId="0" borderId="0" xfId="0" applyFont="1" applyFill="1" applyAlignment="1">
      <alignment horizontal="left" vertical="top" wrapText="1"/>
    </xf>
    <xf numFmtId="0" fontId="3" fillId="0" borderId="0" xfId="0" applyFont="1" applyFill="1" applyAlignment="1">
      <alignment horizontal="center"/>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vertical="top" wrapText="1"/>
    </xf>
    <xf numFmtId="0" fontId="0" fillId="0" borderId="0" xfId="0" applyFill="1" applyAlignment="1">
      <alignment wrapText="1"/>
    </xf>
    <xf numFmtId="3" fontId="12" fillId="0" borderId="0" xfId="0" applyNumberFormat="1" applyFont="1" applyFill="1"/>
    <xf numFmtId="3" fontId="2" fillId="0" borderId="0" xfId="0" applyNumberFormat="1" applyFont="1" applyFill="1" applyAlignment="1">
      <alignment horizontal="right"/>
    </xf>
    <xf numFmtId="168" fontId="2" fillId="0" borderId="0" xfId="5" applyNumberFormat="1" applyFont="1" applyFill="1"/>
    <xf numFmtId="0" fontId="2" fillId="0" borderId="0" xfId="0" applyFont="1" applyFill="1" applyAlignment="1">
      <alignment wrapText="1"/>
    </xf>
    <xf numFmtId="0" fontId="2" fillId="0" borderId="0" xfId="0" applyFont="1" applyFill="1" applyBorder="1" applyAlignment="1"/>
    <xf numFmtId="0" fontId="12" fillId="0" borderId="0" xfId="0" applyFont="1" applyFill="1" applyBorder="1"/>
    <xf numFmtId="0" fontId="15" fillId="0" borderId="0" xfId="0" applyFont="1" applyFill="1"/>
    <xf numFmtId="174" fontId="2" fillId="0" borderId="0" xfId="6" applyNumberFormat="1" applyFont="1" applyFill="1"/>
    <xf numFmtId="1" fontId="2" fillId="0" borderId="0" xfId="0" applyNumberFormat="1" applyFont="1" applyFill="1"/>
    <xf numFmtId="10" fontId="2" fillId="0" borderId="0" xfId="5" applyNumberFormat="1" applyFont="1" applyFill="1"/>
    <xf numFmtId="0" fontId="4" fillId="0" borderId="0" xfId="0" applyFont="1" applyFill="1" applyAlignment="1">
      <alignment wrapText="1"/>
    </xf>
    <xf numFmtId="165" fontId="2" fillId="0" borderId="0" xfId="5" applyNumberFormat="1" applyFont="1" applyFill="1"/>
    <xf numFmtId="165" fontId="2" fillId="0" borderId="0" xfId="0" applyNumberFormat="1" applyFont="1" applyFill="1" applyBorder="1" applyAlignment="1">
      <alignment horizontal="center"/>
    </xf>
    <xf numFmtId="0" fontId="2" fillId="0" borderId="0" xfId="0" applyFont="1" applyFill="1" applyBorder="1" applyAlignment="1">
      <alignment horizontal="centerContinuous"/>
    </xf>
    <xf numFmtId="0" fontId="6" fillId="0" borderId="0" xfId="0" applyFont="1" applyFill="1" applyBorder="1" applyAlignment="1">
      <alignment horizontal="right"/>
    </xf>
    <xf numFmtId="164" fontId="4" fillId="0" borderId="0" xfId="0" applyNumberFormat="1" applyFont="1" applyFill="1" applyAlignment="1">
      <alignment horizontal="center"/>
    </xf>
    <xf numFmtId="0" fontId="2" fillId="0" borderId="0" xfId="0" applyFont="1" applyFill="1" applyAlignment="1">
      <alignment horizontal="center" vertical="center"/>
    </xf>
    <xf numFmtId="2" fontId="10" fillId="0" borderId="0" xfId="0" applyNumberFormat="1" applyFont="1" applyFill="1" applyAlignment="1">
      <alignment horizontal="center" vertical="center"/>
    </xf>
    <xf numFmtId="167" fontId="4" fillId="0" borderId="0" xfId="0" applyNumberFormat="1" applyFont="1" applyFill="1" applyAlignment="1">
      <alignment horizontal="center"/>
    </xf>
    <xf numFmtId="3" fontId="2" fillId="0" borderId="0" xfId="0" applyNumberFormat="1" applyFont="1" applyFill="1" applyAlignment="1">
      <alignment horizontal="center"/>
    </xf>
    <xf numFmtId="168" fontId="2" fillId="0" borderId="0" xfId="0" quotePrefix="1" applyNumberFormat="1" applyFont="1" applyFill="1" applyAlignment="1">
      <alignment horizontal="right"/>
    </xf>
    <xf numFmtId="0" fontId="2" fillId="0" borderId="0" xfId="0" quotePrefix="1" applyFont="1" applyFill="1" applyAlignment="1">
      <alignment horizontal="right"/>
    </xf>
    <xf numFmtId="168" fontId="9" fillId="0" borderId="0" xfId="4" applyNumberFormat="1" applyFont="1" applyFill="1"/>
    <xf numFmtId="0" fontId="3" fillId="0" borderId="0" xfId="3" applyFont="1" applyFill="1" applyAlignment="1">
      <alignment horizontal="centerContinuous"/>
    </xf>
    <xf numFmtId="0" fontId="2" fillId="0" borderId="0" xfId="3" applyFont="1" applyFill="1" applyAlignment="1">
      <alignment horizontal="centerContinuous"/>
    </xf>
    <xf numFmtId="0" fontId="2" fillId="0" borderId="0" xfId="3" quotePrefix="1" applyFont="1" applyFill="1" applyAlignment="1">
      <alignment horizontal="center"/>
    </xf>
    <xf numFmtId="0" fontId="2" fillId="0" borderId="0" xfId="3" quotePrefix="1" applyFont="1" applyFill="1" applyBorder="1" applyAlignment="1">
      <alignment horizontal="center"/>
    </xf>
    <xf numFmtId="0" fontId="4" fillId="0" borderId="0" xfId="3" applyFont="1" applyFill="1" applyAlignment="1">
      <alignment horizontal="center"/>
    </xf>
    <xf numFmtId="168" fontId="2" fillId="0" borderId="0" xfId="3" quotePrefix="1" applyNumberFormat="1" applyFont="1" applyFill="1" applyAlignment="1">
      <alignment horizontal="right"/>
    </xf>
    <xf numFmtId="3" fontId="2" fillId="0" borderId="0" xfId="3" applyNumberFormat="1" applyFont="1" applyFill="1" applyBorder="1"/>
    <xf numFmtId="168" fontId="2" fillId="0" borderId="0" xfId="3" applyNumberFormat="1" applyFont="1" applyFill="1" applyBorder="1"/>
    <xf numFmtId="168" fontId="11" fillId="0" borderId="0" xfId="3" applyNumberFormat="1" applyFont="1" applyFill="1" applyAlignment="1">
      <alignment horizontal="right"/>
    </xf>
    <xf numFmtId="0" fontId="2" fillId="0" borderId="0" xfId="3" applyFont="1" applyFill="1" applyAlignment="1">
      <alignment vertical="top"/>
    </xf>
    <xf numFmtId="0" fontId="2" fillId="0" borderId="0" xfId="3" applyFont="1" applyFill="1" applyAlignment="1">
      <alignment vertical="top" wrapText="1"/>
    </xf>
    <xf numFmtId="0" fontId="2" fillId="0" borderId="0" xfId="3" applyFont="1" applyFill="1" applyAlignment="1"/>
    <xf numFmtId="2" fontId="3" fillId="0" borderId="0" xfId="0" applyNumberFormat="1" applyFont="1" applyFill="1" applyAlignment="1">
      <alignment horizontal="centerContinuous"/>
    </xf>
    <xf numFmtId="2" fontId="3" fillId="0" borderId="0" xfId="0" applyNumberFormat="1" applyFont="1" applyFill="1" applyAlignment="1">
      <alignment horizontal="center"/>
    </xf>
    <xf numFmtId="0" fontId="10" fillId="0" borderId="0" xfId="0" applyFont="1" applyFill="1" applyAlignment="1">
      <alignment horizontal="center"/>
    </xf>
    <xf numFmtId="0" fontId="21" fillId="0" borderId="0" xfId="7" applyFont="1" applyFill="1" applyAlignment="1">
      <alignment horizontal="centerContinuous"/>
    </xf>
    <xf numFmtId="0" fontId="12" fillId="0" borderId="0" xfId="7" applyFont="1" applyFill="1"/>
    <xf numFmtId="0" fontId="13" fillId="0" borderId="0" xfId="7" applyFont="1" applyFill="1"/>
    <xf numFmtId="0" fontId="13" fillId="0" borderId="0" xfId="7" applyFont="1" applyFill="1" applyAlignment="1">
      <alignment horizontal="center"/>
    </xf>
    <xf numFmtId="0" fontId="18" fillId="0" borderId="0" xfId="7" applyFont="1" applyFill="1" applyAlignment="1">
      <alignment horizontal="centerContinuous"/>
    </xf>
    <xf numFmtId="0" fontId="12" fillId="0" borderId="0" xfId="7" applyFont="1" applyFill="1" applyAlignment="1">
      <alignment horizontal="center"/>
    </xf>
    <xf numFmtId="164" fontId="12" fillId="0" borderId="0" xfId="7" applyNumberFormat="1" applyFont="1" applyFill="1" applyAlignment="1">
      <alignment horizontal="center"/>
    </xf>
    <xf numFmtId="0" fontId="9" fillId="0" borderId="0" xfId="7" applyFont="1" applyFill="1"/>
    <xf numFmtId="164" fontId="23" fillId="0" borderId="0" xfId="7" applyNumberFormat="1" applyFont="1" applyFill="1" applyAlignment="1">
      <alignment horizontal="center"/>
    </xf>
    <xf numFmtId="10" fontId="12" fillId="0" borderId="0" xfId="0" applyNumberFormat="1" applyFont="1" applyFill="1" applyBorder="1" applyAlignment="1">
      <alignment horizontal="center"/>
    </xf>
    <xf numFmtId="14" fontId="2" fillId="0" borderId="0" xfId="0" quotePrefix="1" applyNumberFormat="1" applyFont="1" applyFill="1" applyAlignment="1">
      <alignment horizontal="center"/>
    </xf>
    <xf numFmtId="14" fontId="12" fillId="0" borderId="0" xfId="7" applyNumberFormat="1" applyFont="1" applyFill="1"/>
    <xf numFmtId="0" fontId="2" fillId="0" borderId="0" xfId="0" applyFont="1" applyFill="1" applyProtection="1">
      <protection locked="0" hidden="1"/>
    </xf>
    <xf numFmtId="9" fontId="3" fillId="0" borderId="0" xfId="5" applyFont="1" applyFill="1" applyAlignment="1" applyProtection="1">
      <alignment horizontal="centerContinuous"/>
      <protection locked="0" hidden="1"/>
    </xf>
    <xf numFmtId="14" fontId="2" fillId="0" borderId="0" xfId="0" applyNumberFormat="1" applyFont="1" applyFill="1" applyProtection="1">
      <protection locked="0" hidden="1"/>
    </xf>
    <xf numFmtId="9" fontId="22" fillId="0" borderId="0" xfId="5" applyFont="1" applyFill="1" applyAlignment="1" applyProtection="1">
      <alignment horizontal="centerContinuous"/>
      <protection locked="0" hidden="1"/>
    </xf>
    <xf numFmtId="0" fontId="2" fillId="0" borderId="0" xfId="0" applyFont="1" applyFill="1" applyAlignment="1" applyProtection="1">
      <alignment horizontal="right"/>
      <protection locked="0" hidden="1"/>
    </xf>
    <xf numFmtId="0" fontId="2" fillId="0" borderId="0" xfId="0" applyFont="1" applyFill="1" applyAlignment="1" applyProtection="1">
      <protection locked="0" hidden="1"/>
    </xf>
    <xf numFmtId="0" fontId="4" fillId="0" borderId="0" xfId="0" applyFont="1" applyFill="1" applyAlignment="1" applyProtection="1">
      <alignment horizontal="center"/>
      <protection locked="0" hidden="1"/>
    </xf>
    <xf numFmtId="164" fontId="2" fillId="0" borderId="0" xfId="0" quotePrefix="1" applyNumberFormat="1" applyFont="1" applyFill="1" applyAlignment="1" applyProtection="1">
      <alignment horizontal="center"/>
      <protection locked="0" hidden="1"/>
    </xf>
    <xf numFmtId="0" fontId="2" fillId="0" borderId="0" xfId="0" applyFont="1" applyFill="1" applyAlignment="1" applyProtection="1">
      <alignment horizontal="center"/>
      <protection locked="0" hidden="1"/>
    </xf>
    <xf numFmtId="0" fontId="2" fillId="0" borderId="0" xfId="0" quotePrefix="1" applyFont="1" applyFill="1" applyAlignment="1" applyProtection="1">
      <alignment horizontal="right" vertical="top"/>
      <protection locked="0" hidden="1"/>
    </xf>
    <xf numFmtId="164" fontId="2" fillId="0" borderId="0" xfId="0" applyNumberFormat="1" applyFont="1" applyFill="1" applyAlignment="1" applyProtection="1">
      <alignment horizontal="center" vertical="top"/>
      <protection locked="0" hidden="1"/>
    </xf>
    <xf numFmtId="0" fontId="4" fillId="0" borderId="6"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2" fillId="0" borderId="0" xfId="0" applyFont="1" applyFill="1" applyAlignment="1" applyProtection="1">
      <alignment horizontal="left" vertical="top" wrapText="1"/>
      <protection locked="0" hidden="1"/>
    </xf>
    <xf numFmtId="164" fontId="2" fillId="0" borderId="0" xfId="0" applyNumberFormat="1" applyFont="1" applyFill="1" applyAlignment="1" applyProtection="1">
      <alignment horizontal="center" vertical="top" wrapText="1"/>
      <protection locked="0" hidden="1"/>
    </xf>
    <xf numFmtId="164" fontId="2" fillId="0" borderId="0" xfId="0" applyNumberFormat="1" applyFont="1" applyFill="1" applyAlignment="1">
      <alignment horizontal="center" vertical="top" wrapText="1"/>
    </xf>
    <xf numFmtId="0" fontId="9" fillId="0" borderId="0" xfId="0" applyFont="1" applyFill="1" applyProtection="1">
      <protection locked="0" hidden="1"/>
    </xf>
    <xf numFmtId="168" fontId="2" fillId="0" borderId="0" xfId="5" applyNumberFormat="1" applyFont="1" applyFill="1" applyAlignment="1">
      <alignment horizontal="center" vertical="top" wrapText="1"/>
    </xf>
    <xf numFmtId="0" fontId="2" fillId="0" borderId="0" xfId="0" applyFont="1" applyFill="1"/>
    <xf numFmtId="0" fontId="1" fillId="0" borderId="0" xfId="0" applyFont="1" applyFill="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164" fontId="12" fillId="0" borderId="0" xfId="0" applyNumberFormat="1" applyFont="1" applyFill="1" applyBorder="1"/>
    <xf numFmtId="0" fontId="2" fillId="0" borderId="0" xfId="0" applyFont="1" applyFill="1"/>
    <xf numFmtId="0" fontId="2" fillId="0" borderId="0" xfId="0" applyFont="1" applyFill="1"/>
    <xf numFmtId="0" fontId="1" fillId="0" borderId="1" xfId="0" applyFont="1" applyFill="1" applyBorder="1" applyAlignment="1">
      <alignment horizontal="centerContinuous"/>
    </xf>
    <xf numFmtId="168" fontId="23" fillId="0" borderId="0" xfId="4" applyNumberFormat="1" applyFont="1" applyFill="1"/>
    <xf numFmtId="168" fontId="24" fillId="0" borderId="0" xfId="4" applyNumberFormat="1" applyFont="1" applyFill="1"/>
    <xf numFmtId="0" fontId="1" fillId="0" borderId="0" xfId="0" applyFont="1" applyFill="1" applyAlignment="1">
      <alignment horizontal="right"/>
    </xf>
    <xf numFmtId="43" fontId="24" fillId="0" borderId="0" xfId="6" applyNumberFormat="1" applyFont="1" applyFill="1"/>
    <xf numFmtId="0" fontId="9" fillId="0" borderId="0" xfId="0" applyFont="1" applyFill="1" applyAlignment="1">
      <alignment horizontal="right"/>
    </xf>
    <xf numFmtId="0" fontId="2" fillId="0" borderId="14" xfId="0" applyFont="1" applyBorder="1" applyAlignment="1">
      <alignment horizontal="center"/>
    </xf>
    <xf numFmtId="0" fontId="2" fillId="0" borderId="0" xfId="1" applyFont="1" applyFill="1" applyAlignment="1">
      <alignment vertical="top" wrapText="1"/>
    </xf>
    <xf numFmtId="0" fontId="2" fillId="0" borderId="0" xfId="1" applyFont="1" applyFill="1" applyAlignment="1">
      <alignment wrapText="1"/>
    </xf>
    <xf numFmtId="0" fontId="2" fillId="0" borderId="0" xfId="0" applyFont="1" applyFill="1" applyAlignment="1">
      <alignment horizontal="left" vertical="top" wrapText="1"/>
    </xf>
    <xf numFmtId="0" fontId="4" fillId="0" borderId="0" xfId="0" applyFont="1" applyFill="1"/>
    <xf numFmtId="0" fontId="2" fillId="0" borderId="0" xfId="0" applyFont="1" applyFill="1"/>
    <xf numFmtId="0" fontId="2" fillId="0" borderId="0" xfId="1" applyFont="1" applyFill="1" applyAlignment="1">
      <alignment horizontal="left" vertical="top" wrapText="1"/>
    </xf>
    <xf numFmtId="0" fontId="2" fillId="0" borderId="0" xfId="1" applyFont="1" applyFill="1"/>
    <xf numFmtId="164" fontId="3" fillId="0" borderId="0" xfId="0" applyNumberFormat="1" applyFont="1" applyFill="1" applyAlignment="1">
      <alignment horizontal="center"/>
    </xf>
    <xf numFmtId="0" fontId="2" fillId="0" borderId="0" xfId="3" applyFont="1" applyFill="1" applyAlignment="1">
      <alignment horizontal="center"/>
    </xf>
    <xf numFmtId="0" fontId="17" fillId="0" borderId="0" xfId="0" applyFont="1" applyFill="1" applyAlignment="1"/>
    <xf numFmtId="168" fontId="2" fillId="0" borderId="0" xfId="4" applyNumberFormat="1" applyFont="1" applyFill="1"/>
    <xf numFmtId="0" fontId="2" fillId="0" borderId="1" xfId="0" applyFont="1" applyFill="1" applyBorder="1"/>
    <xf numFmtId="3" fontId="2" fillId="0" borderId="1" xfId="0" applyNumberFormat="1" applyFont="1" applyFill="1" applyBorder="1"/>
    <xf numFmtId="168" fontId="2" fillId="0" borderId="1" xfId="0" applyNumberFormat="1" applyFont="1" applyFill="1" applyBorder="1"/>
    <xf numFmtId="0" fontId="2" fillId="0" borderId="0" xfId="0" quotePrefix="1" applyFont="1" applyFill="1"/>
    <xf numFmtId="14" fontId="9" fillId="0" borderId="0" xfId="0" quotePrefix="1" applyNumberFormat="1" applyFont="1" applyFill="1" applyAlignment="1">
      <alignment horizontal="center"/>
    </xf>
    <xf numFmtId="0" fontId="17" fillId="0" borderId="0" xfId="0" applyFont="1" applyFill="1" applyAlignment="1">
      <alignment horizontal="centerContinuous" wrapText="1"/>
    </xf>
    <xf numFmtId="0" fontId="17" fillId="0" borderId="1" xfId="0" applyFont="1" applyFill="1" applyBorder="1" applyAlignment="1">
      <alignment horizontal="centerContinuous"/>
    </xf>
    <xf numFmtId="0" fontId="17" fillId="0" borderId="0" xfId="0" applyFont="1" applyFill="1" applyAlignment="1">
      <alignment vertical="justify"/>
    </xf>
    <xf numFmtId="0" fontId="12" fillId="0" borderId="0" xfId="0" applyFont="1" applyFill="1" applyAlignment="1"/>
    <xf numFmtId="0" fontId="12" fillId="0" borderId="0" xfId="0" applyFont="1" applyFill="1" applyBorder="1" applyAlignment="1"/>
    <xf numFmtId="0" fontId="0" fillId="0" borderId="0" xfId="0" applyFill="1" applyAlignment="1"/>
    <xf numFmtId="1" fontId="2" fillId="0" borderId="0" xfId="1" applyNumberFormat="1" applyFont="1" applyFill="1"/>
    <xf numFmtId="3" fontId="2" fillId="0" borderId="0" xfId="1" applyNumberFormat="1" applyFont="1" applyFill="1"/>
    <xf numFmtId="3" fontId="2" fillId="0" borderId="0" xfId="1" applyNumberFormat="1" applyFont="1" applyFill="1" applyAlignment="1">
      <alignment horizontal="center"/>
    </xf>
    <xf numFmtId="175" fontId="12" fillId="0" borderId="0" xfId="6" applyNumberFormat="1" applyFont="1"/>
    <xf numFmtId="168" fontId="12" fillId="0" borderId="0" xfId="4" applyNumberFormat="1" applyFont="1"/>
    <xf numFmtId="164" fontId="9" fillId="0" borderId="0" xfId="0" applyNumberFormat="1" applyFont="1" applyAlignment="1">
      <alignment horizontal="center"/>
    </xf>
    <xf numFmtId="10" fontId="2" fillId="0" borderId="0" xfId="0" applyNumberFormat="1" applyFont="1" applyFill="1" applyProtection="1">
      <protection locked="0" hidden="1"/>
    </xf>
    <xf numFmtId="0" fontId="2" fillId="0" borderId="0" xfId="0" applyFont="1" applyFill="1" applyAlignment="1">
      <alignment horizontal="left" vertical="top" wrapText="1"/>
    </xf>
    <xf numFmtId="0" fontId="17" fillId="0" borderId="0" xfId="0" applyFont="1" applyFill="1" applyAlignment="1">
      <alignment horizontal="left" vertical="top" wrapText="1"/>
    </xf>
    <xf numFmtId="0" fontId="2" fillId="0" borderId="0" xfId="0" quotePrefix="1" applyFont="1" applyFill="1" applyAlignment="1" applyProtection="1">
      <alignment horizontal="right"/>
      <protection locked="0" hidden="1"/>
    </xf>
    <xf numFmtId="0" fontId="3" fillId="0" borderId="0" xfId="0" applyFont="1" applyFill="1" applyAlignment="1" applyProtection="1">
      <alignment horizontal="centerContinuous"/>
      <protection locked="0" hidden="1"/>
    </xf>
    <xf numFmtId="0" fontId="17" fillId="0" borderId="0" xfId="0" applyFont="1" applyFill="1" applyAlignment="1">
      <alignment vertical="top"/>
    </xf>
    <xf numFmtId="0" fontId="2" fillId="0" borderId="0" xfId="0" applyFont="1" applyFill="1"/>
    <xf numFmtId="0" fontId="2" fillId="0" borderId="0" xfId="1" applyFont="1" applyFill="1"/>
    <xf numFmtId="0" fontId="2" fillId="0" borderId="0" xfId="0" applyFont="1" applyFill="1" applyBorder="1" applyAlignment="1">
      <alignment horizontal="center"/>
    </xf>
    <xf numFmtId="164" fontId="2" fillId="0" borderId="0" xfId="0" applyNumberFormat="1" applyFont="1" applyFill="1" applyAlignment="1">
      <alignment horizontal="center" vertical="center"/>
    </xf>
    <xf numFmtId="0" fontId="26" fillId="0" borderId="0" xfId="0" applyFont="1"/>
    <xf numFmtId="168" fontId="11" fillId="0" borderId="0" xfId="3" applyNumberFormat="1" applyFont="1" applyFill="1"/>
    <xf numFmtId="0" fontId="2" fillId="0" borderId="0" xfId="0" applyFont="1" applyFill="1"/>
    <xf numFmtId="0" fontId="2" fillId="0" borderId="0" xfId="0" applyFont="1" applyFill="1" applyBorder="1" applyAlignment="1">
      <alignment horizontal="center"/>
    </xf>
    <xf numFmtId="0" fontId="2" fillId="0" borderId="0" xfId="3" applyFont="1" applyFill="1" applyAlignment="1">
      <alignment horizontal="center"/>
    </xf>
    <xf numFmtId="0" fontId="2" fillId="0" borderId="0" xfId="0" applyFont="1" applyFill="1"/>
    <xf numFmtId="0" fontId="1" fillId="0" borderId="0" xfId="0" applyFont="1"/>
    <xf numFmtId="0" fontId="17" fillId="0" borderId="0" xfId="11" applyFont="1"/>
    <xf numFmtId="0" fontId="2" fillId="0" borderId="0" xfId="1" applyFont="1" applyFill="1" applyAlignment="1">
      <alignment wrapText="1"/>
    </xf>
    <xf numFmtId="0" fontId="2" fillId="0" borderId="0" xfId="1" applyFont="1" applyFill="1" applyAlignment="1">
      <alignment vertical="top" wrapText="1"/>
    </xf>
    <xf numFmtId="0" fontId="17" fillId="0" borderId="0" xfId="0" applyFont="1" applyFill="1" applyAlignment="1">
      <alignment vertical="top"/>
    </xf>
    <xf numFmtId="0" fontId="17" fillId="0" borderId="0" xfId="0" applyFont="1" applyFill="1" applyAlignment="1"/>
    <xf numFmtId="0" fontId="2" fillId="0" borderId="0" xfId="0" applyFont="1" applyFill="1"/>
    <xf numFmtId="0" fontId="2" fillId="0" borderId="0" xfId="1" applyFont="1" applyFill="1" applyAlignment="1">
      <alignment horizontal="left" vertical="top" wrapText="1"/>
    </xf>
    <xf numFmtId="0" fontId="2" fillId="0" borderId="0" xfId="1" applyFont="1" applyFill="1"/>
    <xf numFmtId="4" fontId="12" fillId="0" borderId="6" xfId="0" applyNumberFormat="1" applyFont="1" applyFill="1" applyBorder="1" applyAlignment="1"/>
    <xf numFmtId="0" fontId="0" fillId="0" borderId="2" xfId="0" applyFill="1" applyBorder="1" applyAlignment="1"/>
    <xf numFmtId="0" fontId="0" fillId="0" borderId="7" xfId="0" applyFill="1" applyBorder="1" applyAlignment="1"/>
    <xf numFmtId="168" fontId="12" fillId="0" borderId="1" xfId="0" applyNumberFormat="1" applyFont="1" applyFill="1" applyBorder="1" applyAlignment="1">
      <alignment horizontal="center"/>
    </xf>
    <xf numFmtId="0" fontId="2" fillId="0" borderId="15" xfId="0" applyFont="1" applyBorder="1" applyAlignment="1">
      <alignment horizontal="center"/>
    </xf>
    <xf numFmtId="0" fontId="1" fillId="0" borderId="0" xfId="7" applyFont="1" applyFill="1"/>
    <xf numFmtId="0" fontId="2" fillId="0" borderId="0" xfId="0" applyFont="1" applyFill="1" applyBorder="1" applyAlignment="1">
      <alignment horizontal="center"/>
    </xf>
    <xf numFmtId="0" fontId="2" fillId="0" borderId="0" xfId="3"/>
    <xf numFmtId="3" fontId="11" fillId="0" borderId="0" xfId="1" applyNumberFormat="1" applyFont="1"/>
    <xf numFmtId="164" fontId="2" fillId="0" borderId="0" xfId="1" applyNumberFormat="1" applyAlignment="1">
      <alignment horizontal="center"/>
    </xf>
    <xf numFmtId="3" fontId="11" fillId="0" borderId="1" xfId="1" applyNumberFormat="1" applyFont="1" applyBorder="1"/>
    <xf numFmtId="164" fontId="2" fillId="0" borderId="1" xfId="1" applyNumberFormat="1" applyBorder="1" applyAlignment="1">
      <alignment horizontal="center"/>
    </xf>
    <xf numFmtId="165" fontId="11" fillId="0" borderId="0" xfId="1" applyNumberFormat="1" applyFont="1" applyAlignment="1">
      <alignment horizontal="center"/>
    </xf>
    <xf numFmtId="165" fontId="2" fillId="0" borderId="0" xfId="1" applyNumberFormat="1" applyAlignment="1">
      <alignment horizontal="center"/>
    </xf>
    <xf numFmtId="0" fontId="1" fillId="0" borderId="6" xfId="0" applyFont="1" applyBorder="1"/>
    <xf numFmtId="0" fontId="13" fillId="0" borderId="2" xfId="0" applyFont="1" applyBorder="1" applyAlignment="1">
      <alignment horizontal="center"/>
    </xf>
    <xf numFmtId="0" fontId="1" fillId="0" borderId="7" xfId="0" applyFont="1" applyBorder="1"/>
    <xf numFmtId="0" fontId="13" fillId="0" borderId="8" xfId="0" applyFont="1" applyBorder="1" applyAlignment="1">
      <alignment horizontal="center"/>
    </xf>
    <xf numFmtId="0" fontId="13" fillId="0" borderId="0" xfId="0" applyFont="1" applyAlignment="1">
      <alignment horizontal="center"/>
    </xf>
    <xf numFmtId="0" fontId="13" fillId="0" borderId="9" xfId="0" applyFont="1" applyBorder="1" applyAlignment="1">
      <alignment horizontal="center"/>
    </xf>
    <xf numFmtId="0" fontId="2" fillId="0" borderId="6" xfId="1" applyBorder="1" applyAlignment="1">
      <alignment horizontal="center"/>
    </xf>
    <xf numFmtId="175" fontId="11" fillId="0" borderId="2" xfId="6" applyNumberFormat="1" applyFont="1" applyFill="1" applyBorder="1"/>
    <xf numFmtId="164" fontId="2" fillId="0" borderId="7" xfId="0" applyNumberFormat="1" applyFont="1" applyBorder="1"/>
    <xf numFmtId="0" fontId="2" fillId="0" borderId="8" xfId="1" applyBorder="1" applyAlignment="1">
      <alignment horizontal="center"/>
    </xf>
    <xf numFmtId="175" fontId="11" fillId="0" borderId="0" xfId="6" applyNumberFormat="1" applyFont="1" applyFill="1" applyBorder="1"/>
    <xf numFmtId="164" fontId="2" fillId="0" borderId="9" xfId="0" applyNumberFormat="1" applyFont="1" applyBorder="1"/>
    <xf numFmtId="0" fontId="2" fillId="0" borderId="10" xfId="1" applyBorder="1" applyAlignment="1">
      <alignment horizontal="center"/>
    </xf>
    <xf numFmtId="175" fontId="11" fillId="0" borderId="1" xfId="6" applyNumberFormat="1" applyFont="1" applyFill="1" applyBorder="1"/>
    <xf numFmtId="164" fontId="2" fillId="0" borderId="11" xfId="0" applyNumberFormat="1" applyFont="1" applyBorder="1"/>
    <xf numFmtId="3" fontId="11" fillId="0" borderId="0" xfId="0" applyNumberFormat="1" applyFont="1"/>
    <xf numFmtId="164" fontId="11" fillId="0" borderId="0" xfId="0" applyNumberFormat="1" applyFont="1"/>
    <xf numFmtId="168" fontId="11" fillId="0" borderId="0" xfId="5" applyNumberFormat="1" applyFont="1" applyFill="1"/>
    <xf numFmtId="3" fontId="11" fillId="0" borderId="0" xfId="5" applyNumberFormat="1" applyFont="1" applyFill="1"/>
    <xf numFmtId="3" fontId="2" fillId="0" borderId="0" xfId="0" applyNumberFormat="1" applyFont="1"/>
    <xf numFmtId="3" fontId="2" fillId="0" borderId="0" xfId="5" applyNumberFormat="1" applyFont="1"/>
    <xf numFmtId="165" fontId="2" fillId="0" borderId="0" xfId="0" applyNumberFormat="1" applyFont="1"/>
    <xf numFmtId="165" fontId="11" fillId="0" borderId="0" xfId="0" applyNumberFormat="1" applyFont="1"/>
    <xf numFmtId="10" fontId="2" fillId="0" borderId="0" xfId="4" applyNumberFormat="1" applyFont="1"/>
    <xf numFmtId="164" fontId="11" fillId="0" borderId="0" xfId="4" applyNumberFormat="1" applyFont="1" applyFill="1"/>
    <xf numFmtId="0" fontId="11" fillId="0" borderId="0" xfId="0" applyFont="1" applyAlignment="1">
      <alignment horizontal="center"/>
    </xf>
    <xf numFmtId="174" fontId="11" fillId="0" borderId="0" xfId="6" applyNumberFormat="1" applyFont="1" applyFill="1" applyAlignment="1">
      <alignment horizontal="distributed"/>
    </xf>
    <xf numFmtId="168" fontId="2" fillId="0" borderId="0" xfId="4" applyNumberFormat="1" applyFont="1"/>
    <xf numFmtId="168" fontId="11" fillId="0" borderId="0" xfId="4" applyNumberFormat="1" applyFont="1"/>
    <xf numFmtId="3" fontId="27" fillId="0" borderId="0" xfId="0" applyNumberFormat="1" applyFont="1"/>
    <xf numFmtId="168" fontId="27" fillId="0" borderId="0" xfId="4" applyNumberFormat="1" applyFont="1"/>
    <xf numFmtId="168" fontId="7" fillId="0" borderId="0" xfId="4" applyNumberFormat="1" applyFont="1"/>
    <xf numFmtId="43" fontId="24" fillId="0" borderId="0" xfId="6" applyFont="1"/>
    <xf numFmtId="43" fontId="2" fillId="0" borderId="0" xfId="6" applyFont="1"/>
    <xf numFmtId="175" fontId="9" fillId="0" borderId="0" xfId="6" applyNumberFormat="1" applyFont="1"/>
    <xf numFmtId="175" fontId="2" fillId="0" borderId="2" xfId="6" applyNumberFormat="1" applyFont="1" applyFill="1" applyBorder="1"/>
    <xf numFmtId="175" fontId="2" fillId="0" borderId="0" xfId="6" applyNumberFormat="1" applyFont="1" applyFill="1" applyBorder="1"/>
    <xf numFmtId="175" fontId="2" fillId="0" borderId="1" xfId="6" applyNumberFormat="1" applyFont="1" applyFill="1" applyBorder="1"/>
    <xf numFmtId="168" fontId="2" fillId="0" borderId="0" xfId="5" applyNumberFormat="1" applyFont="1"/>
    <xf numFmtId="3" fontId="11" fillId="0" borderId="0" xfId="5" applyNumberFormat="1" applyFont="1"/>
    <xf numFmtId="10" fontId="2" fillId="0" borderId="0" xfId="5" applyNumberFormat="1" applyFont="1"/>
    <xf numFmtId="164" fontId="11" fillId="0" borderId="0" xfId="0" applyNumberFormat="1" applyFont="1" applyAlignment="1">
      <alignment horizontal="center"/>
    </xf>
    <xf numFmtId="164"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164" fontId="2" fillId="0" borderId="1" xfId="0" applyNumberFormat="1" applyFont="1" applyBorder="1" applyAlignment="1">
      <alignment horizontal="center"/>
    </xf>
    <xf numFmtId="167" fontId="11" fillId="0" borderId="0" xfId="0" applyNumberFormat="1" applyFont="1" applyAlignment="1">
      <alignment horizontal="center"/>
    </xf>
    <xf numFmtId="167" fontId="11" fillId="0" borderId="0" xfId="0" applyNumberFormat="1" applyFont="1" applyAlignment="1">
      <alignment horizontal="right"/>
    </xf>
    <xf numFmtId="167" fontId="11" fillId="0" borderId="0" xfId="0" quotePrefix="1" applyNumberFormat="1" applyFont="1" applyAlignment="1">
      <alignment horizontal="right"/>
    </xf>
    <xf numFmtId="0" fontId="11" fillId="0" borderId="0" xfId="0" applyFont="1"/>
    <xf numFmtId="0" fontId="4" fillId="0" borderId="6" xfId="0" quotePrefix="1" applyFont="1" applyBorder="1" applyAlignment="1">
      <alignment horizontal="center"/>
    </xf>
    <xf numFmtId="0" fontId="4" fillId="0" borderId="2" xfId="0" quotePrefix="1" applyFont="1" applyBorder="1" applyAlignment="1">
      <alignment horizontal="center" wrapText="1"/>
    </xf>
    <xf numFmtId="0" fontId="4" fillId="0" borderId="7" xfId="0" quotePrefix="1" applyFont="1" applyBorder="1" applyAlignment="1">
      <alignment horizontal="center" wrapText="1"/>
    </xf>
    <xf numFmtId="0" fontId="2" fillId="0" borderId="8" xfId="0" applyFont="1" applyBorder="1" applyAlignment="1">
      <alignment horizontal="center"/>
    </xf>
    <xf numFmtId="168" fontId="2" fillId="0" borderId="0" xfId="4" applyNumberFormat="1" applyFont="1" applyBorder="1" applyAlignment="1">
      <alignment horizontal="center"/>
    </xf>
    <xf numFmtId="168" fontId="2" fillId="0" borderId="9" xfId="4" applyNumberFormat="1" applyFont="1" applyBorder="1" applyAlignment="1">
      <alignment horizontal="center"/>
    </xf>
    <xf numFmtId="0" fontId="4" fillId="0" borderId="10" xfId="0" quotePrefix="1" applyFont="1" applyBorder="1" applyAlignment="1">
      <alignment horizontal="center" wrapText="1"/>
    </xf>
    <xf numFmtId="168" fontId="2" fillId="0" borderId="1" xfId="4" applyNumberFormat="1" applyFont="1" applyBorder="1" applyAlignment="1">
      <alignment horizontal="center"/>
    </xf>
    <xf numFmtId="0" fontId="2" fillId="0" borderId="11" xfId="0" applyFont="1" applyBorder="1"/>
    <xf numFmtId="168" fontId="2" fillId="0" borderId="0" xfId="0" applyNumberFormat="1" applyFont="1" applyAlignment="1">
      <alignment horizontal="center"/>
    </xf>
    <xf numFmtId="168" fontId="9" fillId="0" borderId="0" xfId="0" applyNumberFormat="1" applyFont="1" applyAlignment="1">
      <alignment horizontal="center"/>
    </xf>
    <xf numFmtId="168" fontId="11" fillId="0" borderId="0" xfId="0" applyNumberFormat="1" applyFont="1"/>
    <xf numFmtId="0" fontId="11" fillId="0" borderId="0" xfId="0" applyFont="1" applyFill="1"/>
    <xf numFmtId="169" fontId="11" fillId="0" borderId="0" xfId="0" applyNumberFormat="1" applyFont="1"/>
    <xf numFmtId="170" fontId="11" fillId="0" borderId="0" xfId="0" applyNumberFormat="1" applyFont="1"/>
    <xf numFmtId="170" fontId="11" fillId="0" borderId="0" xfId="0" applyNumberFormat="1" applyFont="1" applyAlignment="1">
      <alignment horizontal="right"/>
    </xf>
    <xf numFmtId="170" fontId="11" fillId="0" borderId="0" xfId="0" applyNumberFormat="1" applyFont="1" applyProtection="1">
      <protection locked="0"/>
    </xf>
    <xf numFmtId="169" fontId="11" fillId="0" borderId="0" xfId="0" applyNumberFormat="1" applyFont="1" applyProtection="1">
      <protection locked="0"/>
    </xf>
    <xf numFmtId="170"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14" xfId="0" applyNumberFormat="1" applyFont="1" applyBorder="1" applyAlignment="1">
      <alignment horizontal="right"/>
    </xf>
    <xf numFmtId="170" fontId="11" fillId="0" borderId="14" xfId="0" applyNumberFormat="1" applyFont="1" applyBorder="1" applyAlignment="1">
      <alignment horizontal="right"/>
    </xf>
    <xf numFmtId="169" fontId="27" fillId="0" borderId="15" xfId="0" applyNumberFormat="1" applyFont="1" applyBorder="1" applyAlignment="1">
      <alignment horizontal="right"/>
    </xf>
    <xf numFmtId="170" fontId="27" fillId="0" borderId="15" xfId="0" applyNumberFormat="1" applyFont="1" applyBorder="1" applyAlignment="1">
      <alignment horizontal="right"/>
    </xf>
    <xf numFmtId="169" fontId="27" fillId="0" borderId="0" xfId="0" applyNumberFormat="1" applyFont="1" applyBorder="1" applyAlignment="1">
      <alignment horizontal="right"/>
    </xf>
    <xf numFmtId="170" fontId="27" fillId="0" borderId="0" xfId="0" applyNumberFormat="1" applyFont="1" applyBorder="1" applyAlignment="1">
      <alignment horizontal="right"/>
    </xf>
    <xf numFmtId="169" fontId="27" fillId="0" borderId="0" xfId="0" applyNumberFormat="1" applyFont="1" applyAlignment="1">
      <alignment horizontal="right"/>
    </xf>
    <xf numFmtId="170" fontId="27" fillId="0" borderId="0" xfId="0" applyNumberFormat="1" applyFont="1" applyAlignment="1">
      <alignment horizontal="right"/>
    </xf>
    <xf numFmtId="3" fontId="11" fillId="0" borderId="1" xfId="0" applyNumberFormat="1" applyFont="1" applyBorder="1"/>
    <xf numFmtId="164" fontId="11" fillId="0" borderId="1" xfId="0" applyNumberFormat="1" applyFont="1" applyBorder="1"/>
    <xf numFmtId="3" fontId="2" fillId="0" borderId="0" xfId="3" applyNumberFormat="1"/>
    <xf numFmtId="3" fontId="11" fillId="0" borderId="0" xfId="3" applyNumberFormat="1" applyFont="1"/>
    <xf numFmtId="3" fontId="11" fillId="0" borderId="0" xfId="3" applyNumberFormat="1" applyFont="1" applyFill="1"/>
    <xf numFmtId="1" fontId="2" fillId="0" borderId="0" xfId="0" applyNumberFormat="1" applyFont="1" applyAlignment="1">
      <alignment horizontal="center"/>
    </xf>
    <xf numFmtId="164" fontId="13" fillId="0" borderId="6" xfId="0" applyNumberFormat="1" applyFont="1" applyBorder="1" applyAlignment="1">
      <alignment horizontal="center"/>
    </xf>
    <xf numFmtId="0" fontId="13" fillId="0" borderId="7" xfId="0" applyFont="1" applyBorder="1" applyAlignment="1">
      <alignment horizontal="center"/>
    </xf>
    <xf numFmtId="168" fontId="11" fillId="0" borderId="0" xfId="4" applyNumberFormat="1" applyFont="1" applyFill="1" applyBorder="1" applyAlignment="1">
      <alignment horizontal="center" vertical="center"/>
    </xf>
    <xf numFmtId="168" fontId="1" fillId="0" borderId="9" xfId="4" applyNumberFormat="1" applyFont="1" applyFill="1" applyBorder="1" applyAlignment="1">
      <alignment horizontal="center"/>
    </xf>
    <xf numFmtId="0" fontId="2" fillId="0" borderId="10" xfId="0" applyFont="1" applyBorder="1" applyAlignment="1">
      <alignment horizontal="center"/>
    </xf>
    <xf numFmtId="168" fontId="1" fillId="0" borderId="11" xfId="4" applyNumberFormat="1" applyFont="1" applyFill="1" applyBorder="1" applyAlignment="1">
      <alignment horizontal="center"/>
    </xf>
    <xf numFmtId="0" fontId="2" fillId="0" borderId="8" xfId="0" applyFont="1" applyFill="1" applyBorder="1" applyProtection="1">
      <protection locked="0" hidden="1"/>
    </xf>
    <xf numFmtId="0" fontId="2" fillId="0" borderId="0" xfId="0" applyFont="1" applyFill="1" applyBorder="1" applyProtection="1">
      <protection locked="0" hidden="1"/>
    </xf>
    <xf numFmtId="0" fontId="4" fillId="0" borderId="16" xfId="0" applyFont="1" applyFill="1" applyBorder="1" applyAlignment="1" applyProtection="1">
      <alignment horizontal="center"/>
      <protection locked="0" hidden="1"/>
    </xf>
    <xf numFmtId="0" fontId="2" fillId="0" borderId="17" xfId="0" applyFont="1" applyFill="1" applyBorder="1" applyProtection="1">
      <protection locked="0" hidden="1"/>
    </xf>
    <xf numFmtId="168" fontId="11" fillId="0" borderId="10" xfId="0" applyNumberFormat="1" applyFont="1" applyFill="1" applyBorder="1" applyAlignment="1" applyProtection="1">
      <alignment horizontal="center"/>
      <protection locked="0" hidden="1"/>
    </xf>
    <xf numFmtId="168" fontId="2" fillId="0" borderId="18" xfId="0" applyNumberFormat="1" applyFont="1" applyFill="1" applyBorder="1" applyAlignment="1" applyProtection="1">
      <alignment horizontal="center"/>
      <protection locked="0" hidden="1"/>
    </xf>
    <xf numFmtId="168" fontId="11" fillId="0" borderId="0" xfId="4" applyNumberFormat="1" applyFont="1" applyFill="1" applyAlignment="1">
      <alignment horizontal="center"/>
    </xf>
    <xf numFmtId="165" fontId="9" fillId="0" borderId="0" xfId="1" applyNumberFormat="1" applyFont="1" applyAlignment="1">
      <alignment horizontal="center"/>
    </xf>
    <xf numFmtId="175" fontId="2" fillId="0" borderId="0" xfId="6" applyNumberFormat="1" applyFont="1"/>
    <xf numFmtId="0" fontId="17" fillId="0" borderId="0" xfId="0" applyFont="1" applyFill="1"/>
    <xf numFmtId="168" fontId="2" fillId="0" borderId="0" xfId="4" applyNumberFormat="1" applyFont="1" applyFill="1" applyBorder="1" applyAlignment="1">
      <alignment horizontal="center" vertical="center"/>
    </xf>
    <xf numFmtId="168" fontId="2" fillId="0" borderId="1" xfId="4" applyNumberFormat="1" applyFont="1" applyFill="1" applyBorder="1" applyAlignment="1">
      <alignment horizontal="center" vertical="center"/>
    </xf>
    <xf numFmtId="0" fontId="2" fillId="0" borderId="0" xfId="1" applyFont="1" applyFill="1" applyAlignment="1">
      <alignment wrapText="1"/>
    </xf>
    <xf numFmtId="0" fontId="2" fillId="0" borderId="0" xfId="1" applyFont="1" applyFill="1" applyAlignment="1">
      <alignment vertical="top" wrapText="1"/>
    </xf>
    <xf numFmtId="0" fontId="17" fillId="0" borderId="0" xfId="0" applyFont="1" applyFill="1" applyAlignment="1">
      <alignment vertical="top"/>
    </xf>
    <xf numFmtId="0" fontId="17" fillId="0" borderId="0" xfId="0" applyFont="1" applyFill="1" applyAlignment="1"/>
    <xf numFmtId="0" fontId="2" fillId="0" borderId="1" xfId="0" applyFont="1" applyFill="1" applyBorder="1" applyAlignment="1">
      <alignment horizontal="center"/>
    </xf>
    <xf numFmtId="0" fontId="2" fillId="0" borderId="0" xfId="0" applyFont="1" applyFill="1" applyAlignment="1">
      <alignment horizontal="left" vertical="top" wrapText="1"/>
    </xf>
    <xf numFmtId="0" fontId="4" fillId="0" borderId="0" xfId="0" applyFont="1" applyFill="1"/>
    <xf numFmtId="0" fontId="0" fillId="0" borderId="1" xfId="0" applyFill="1" applyBorder="1" applyAlignment="1"/>
    <xf numFmtId="0" fontId="2" fillId="0" borderId="0" xfId="0" applyFont="1" applyFill="1"/>
    <xf numFmtId="0" fontId="2" fillId="0" borderId="0" xfId="1" applyFont="1" applyFill="1" applyAlignment="1">
      <alignment horizontal="left" vertical="top" wrapText="1"/>
    </xf>
    <xf numFmtId="0" fontId="2" fillId="0" borderId="0" xfId="1" applyFont="1" applyFill="1"/>
    <xf numFmtId="0" fontId="3" fillId="0" borderId="0" xfId="0" applyFont="1" applyFill="1" applyAlignment="1">
      <alignment horizontal="center"/>
    </xf>
    <xf numFmtId="0" fontId="3" fillId="0" borderId="1" xfId="0" applyFont="1" applyFill="1" applyBorder="1" applyAlignment="1">
      <alignment horizontal="center"/>
    </xf>
    <xf numFmtId="0" fontId="2" fillId="0" borderId="5" xfId="0" applyFont="1" applyFill="1" applyBorder="1" applyAlignment="1">
      <alignment horizontal="center"/>
    </xf>
    <xf numFmtId="0" fontId="2" fillId="0" borderId="12" xfId="0" applyFont="1" applyBorder="1" applyAlignment="1">
      <alignment horizontal="center"/>
    </xf>
    <xf numFmtId="0" fontId="17" fillId="0" borderId="5" xfId="0" applyFont="1" applyBorder="1" applyAlignment="1">
      <alignment horizontal="center"/>
    </xf>
    <xf numFmtId="0" fontId="17" fillId="0" borderId="13" xfId="0" applyFont="1" applyBorder="1" applyAlignment="1">
      <alignment horizontal="center"/>
    </xf>
    <xf numFmtId="164" fontId="3" fillId="0" borderId="0" xfId="0" applyNumberFormat="1" applyFont="1" applyFill="1" applyAlignment="1">
      <alignment horizontal="center"/>
    </xf>
    <xf numFmtId="0" fontId="2" fillId="0"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vertical="top" wrapText="1"/>
    </xf>
    <xf numFmtId="0" fontId="1" fillId="0" borderId="0" xfId="0" applyFont="1" applyFill="1" applyAlignment="1">
      <alignment vertical="top" wrapText="1"/>
    </xf>
    <xf numFmtId="0" fontId="2" fillId="0" borderId="0" xfId="0" applyFont="1" applyAlignment="1">
      <alignment wrapText="1"/>
    </xf>
    <xf numFmtId="0" fontId="2" fillId="0" borderId="0" xfId="0" applyFont="1" applyAlignment="1">
      <alignment horizontal="left" wrapText="1"/>
    </xf>
    <xf numFmtId="2" fontId="2" fillId="0" borderId="0" xfId="0" applyNumberFormat="1" applyFont="1" applyFill="1" applyAlignment="1">
      <alignment wrapText="1"/>
    </xf>
    <xf numFmtId="0" fontId="2" fillId="0" borderId="1" xfId="3" applyFont="1" applyFill="1" applyBorder="1" applyAlignment="1">
      <alignment horizontal="center"/>
    </xf>
    <xf numFmtId="0" fontId="2" fillId="0" borderId="0" xfId="3" applyFont="1" applyFill="1" applyAlignment="1">
      <alignment horizontal="center"/>
    </xf>
    <xf numFmtId="4" fontId="1" fillId="0" borderId="12" xfId="0" applyNumberFormat="1" applyFont="1"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12" fillId="0" borderId="0" xfId="7" applyFont="1" applyFill="1" applyAlignment="1">
      <alignment wrapText="1"/>
    </xf>
    <xf numFmtId="0" fontId="8" fillId="0" borderId="0" xfId="7" applyFill="1" applyAlignment="1">
      <alignment wrapText="1"/>
    </xf>
    <xf numFmtId="0" fontId="2" fillId="0" borderId="0" xfId="0" applyFont="1" applyFill="1" applyAlignment="1" applyProtection="1">
      <alignment vertical="top" wrapText="1"/>
      <protection locked="0" hidden="1"/>
    </xf>
    <xf numFmtId="0" fontId="17" fillId="0" borderId="0" xfId="0" applyFont="1" applyFill="1" applyAlignment="1">
      <alignment horizontal="left" vertical="top" wrapText="1"/>
    </xf>
  </cellXfs>
  <cellStyles count="12">
    <cellStyle name="Comma" xfId="6" builtinId="3"/>
    <cellStyle name="Comma 2" xfId="9" xr:uid="{00000000-0005-0000-0000-000001000000}"/>
    <cellStyle name="Hyperlink" xfId="11" builtinId="8"/>
    <cellStyle name="Normal" xfId="0" builtinId="0"/>
    <cellStyle name="Normal 2" xfId="1" xr:uid="{00000000-0005-0000-0000-000004000000}"/>
    <cellStyle name="Normal 3" xfId="2" xr:uid="{00000000-0005-0000-0000-000005000000}"/>
    <cellStyle name="Normal 3 2" xfId="10" xr:uid="{00000000-0005-0000-0000-000006000000}"/>
    <cellStyle name="Normal 5" xfId="3" xr:uid="{00000000-0005-0000-0000-000007000000}"/>
    <cellStyle name="Normal 5 2" xfId="7" xr:uid="{00000000-0005-0000-0000-000008000000}"/>
    <cellStyle name="Percent" xfId="4" builtinId="5"/>
    <cellStyle name="Percent 2 2" xfId="5" xr:uid="{00000000-0005-0000-0000-00000E000000}"/>
    <cellStyle name="Percent 3" xfId="8" xr:uid="{00000000-0005-0000-0000-00000F000000}"/>
  </cellStyles>
  <dxfs count="0"/>
  <tableStyles count="0" defaultTableStyle="TableStyleMedium2" defaultPivotStyle="PivotStyleLight16"/>
  <colors>
    <mruColors>
      <color rgb="FFDC9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'Exhibit 7.2 - BS Method'!$P$1</c:f>
              <c:strCache>
                <c:ptCount val="1"/>
                <c:pt idx="0">
                  <c:v>On-Level Ratio*</c:v>
                </c:pt>
              </c:strCache>
            </c:strRef>
          </c:tx>
          <c:spPr>
            <a:ln w="19050" cap="rnd">
              <a:solidFill>
                <a:srgbClr val="FF0000"/>
              </a:solidFill>
              <a:round/>
            </a:ln>
            <a:effectLst/>
          </c:spPr>
          <c:marker>
            <c:symbol val="none"/>
          </c:marker>
          <c:dPt>
            <c:idx val="116"/>
            <c:marker>
              <c:symbol val="none"/>
            </c:marker>
            <c:bubble3D val="0"/>
            <c:extLst>
              <c:ext xmlns:c16="http://schemas.microsoft.com/office/drawing/2014/chart" uri="{C3380CC4-5D6E-409C-BE32-E72D297353CC}">
                <c16:uniqueId val="{00000000-178B-4913-92C9-8D90CD1DE550}"/>
              </c:ext>
            </c:extLst>
          </c:dPt>
          <c:dPt>
            <c:idx val="120"/>
            <c:marker>
              <c:symbol val="none"/>
            </c:marker>
            <c:bubble3D val="0"/>
            <c:extLst>
              <c:ext xmlns:c16="http://schemas.microsoft.com/office/drawing/2014/chart" uri="{C3380CC4-5D6E-409C-BE32-E72D297353CC}">
                <c16:uniqueId val="{00000001-178B-4913-92C9-8D90CD1DE550}"/>
              </c:ext>
            </c:extLst>
          </c:dPt>
          <c:dPt>
            <c:idx val="124"/>
            <c:marker>
              <c:symbol val="none"/>
            </c:marker>
            <c:bubble3D val="0"/>
            <c:extLst>
              <c:ext xmlns:c16="http://schemas.microsoft.com/office/drawing/2014/chart" uri="{C3380CC4-5D6E-409C-BE32-E72D297353CC}">
                <c16:uniqueId val="{00000002-178B-4913-92C9-8D90CD1DE550}"/>
              </c:ext>
            </c:extLst>
          </c:dPt>
          <c:dPt>
            <c:idx val="127"/>
            <c:marker>
              <c:symbol val="none"/>
            </c:marker>
            <c:bubble3D val="0"/>
            <c:extLst>
              <c:ext xmlns:c16="http://schemas.microsoft.com/office/drawing/2014/chart" uri="{C3380CC4-5D6E-409C-BE32-E72D297353CC}">
                <c16:uniqueId val="{0000000E-370D-4C86-BC05-7A4AA08709C5}"/>
              </c:ext>
            </c:extLst>
          </c:dPt>
          <c:dPt>
            <c:idx val="128"/>
            <c:marker>
              <c:symbol val="none"/>
            </c:marker>
            <c:bubble3D val="0"/>
            <c:extLst>
              <c:ext xmlns:c16="http://schemas.microsoft.com/office/drawing/2014/chart" uri="{C3380CC4-5D6E-409C-BE32-E72D297353CC}">
                <c16:uniqueId val="{00000016-CCDC-41C7-B0D5-AD6D16CE330A}"/>
              </c:ext>
            </c:extLst>
          </c:dPt>
          <c:dPt>
            <c:idx val="132"/>
            <c:marker>
              <c:symbol val="none"/>
            </c:marker>
            <c:bubble3D val="0"/>
            <c:extLst>
              <c:ext xmlns:c16="http://schemas.microsoft.com/office/drawing/2014/chart" uri="{C3380CC4-5D6E-409C-BE32-E72D297353CC}">
                <c16:uniqueId val="{0000000C-8013-48D3-A55F-975DC966911A}"/>
              </c:ext>
            </c:extLst>
          </c:dPt>
          <c:dPt>
            <c:idx val="136"/>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7-CCDC-41C7-B0D5-AD6D16CE330A}"/>
              </c:ext>
            </c:extLst>
          </c:dPt>
          <c:dLbls>
            <c:dLbl>
              <c:idx val="13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CDC-41C7-B0D5-AD6D16CE33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7.2 - BS Method'!$O$2:$O$150</c:f>
              <c:numCache>
                <c:formatCode>General</c:formatCode>
                <c:ptCount val="149"/>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3">
                  <c:v>2010.25</c:v>
                </c:pt>
                <c:pt idx="94">
                  <c:v>2010.5</c:v>
                </c:pt>
                <c:pt idx="95">
                  <c:v>2010.75</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numCache>
            </c:numRef>
          </c:cat>
          <c:val>
            <c:numRef>
              <c:f>'Exhibit 7.2 - BS Method'!$P$2:$P$148</c:f>
              <c:numCache>
                <c:formatCode>0.000</c:formatCode>
                <c:ptCount val="147"/>
                <c:pt idx="0">
                  <c:v>0.36526452400101689</c:v>
                </c:pt>
                <c:pt idx="1">
                  <c:v>0.37214006317279508</c:v>
                </c:pt>
                <c:pt idx="2">
                  <c:v>0.37901560234457321</c:v>
                </c:pt>
                <c:pt idx="3">
                  <c:v>0.38589114151635134</c:v>
                </c:pt>
                <c:pt idx="4">
                  <c:v>0.39276668068812953</c:v>
                </c:pt>
                <c:pt idx="5">
                  <c:v>0.39904610625958092</c:v>
                </c:pt>
                <c:pt idx="6">
                  <c:v>0.40532553183103226</c:v>
                </c:pt>
                <c:pt idx="7">
                  <c:v>0.41160495740248365</c:v>
                </c:pt>
                <c:pt idx="8">
                  <c:v>0.41788438297393504</c:v>
                </c:pt>
                <c:pt idx="9">
                  <c:v>0.4179191561148935</c:v>
                </c:pt>
                <c:pt idx="10">
                  <c:v>0.41795392925585195</c:v>
                </c:pt>
                <c:pt idx="11">
                  <c:v>0.41798870239681041</c:v>
                </c:pt>
                <c:pt idx="12">
                  <c:v>0.41802347553776886</c:v>
                </c:pt>
                <c:pt idx="13">
                  <c:v>0.41513429833304943</c:v>
                </c:pt>
                <c:pt idx="14">
                  <c:v>0.41224512112833012</c:v>
                </c:pt>
                <c:pt idx="15">
                  <c:v>0.40935594392361074</c:v>
                </c:pt>
                <c:pt idx="16">
                  <c:v>0.40646676671889131</c:v>
                </c:pt>
                <c:pt idx="17">
                  <c:v>0.4019005769609254</c:v>
                </c:pt>
                <c:pt idx="18">
                  <c:v>0.39733438720295949</c:v>
                </c:pt>
                <c:pt idx="19">
                  <c:v>0.39276819744499358</c:v>
                </c:pt>
                <c:pt idx="20">
                  <c:v>0.38820200768702767</c:v>
                </c:pt>
                <c:pt idx="21">
                  <c:v>0.39111443632413495</c:v>
                </c:pt>
                <c:pt idx="22">
                  <c:v>0.39402686496124217</c:v>
                </c:pt>
                <c:pt idx="23">
                  <c:v>0.39693929359834945</c:v>
                </c:pt>
                <c:pt idx="24">
                  <c:v>0.39985172223545673</c:v>
                </c:pt>
                <c:pt idx="25">
                  <c:v>0.40490372952278098</c:v>
                </c:pt>
                <c:pt idx="26">
                  <c:v>0.40995573681010522</c:v>
                </c:pt>
                <c:pt idx="27">
                  <c:v>0.41500774409742952</c:v>
                </c:pt>
                <c:pt idx="28">
                  <c:v>0.42005975138475377</c:v>
                </c:pt>
                <c:pt idx="29">
                  <c:v>0.42180792427554253</c:v>
                </c:pt>
                <c:pt idx="30">
                  <c:v>0.42355609716633125</c:v>
                </c:pt>
                <c:pt idx="31">
                  <c:v>0.42530427005712002</c:v>
                </c:pt>
                <c:pt idx="32">
                  <c:v>0.42705244294790878</c:v>
                </c:pt>
                <c:pt idx="33">
                  <c:v>0.42950960730129939</c:v>
                </c:pt>
                <c:pt idx="34">
                  <c:v>0.43196677165469</c:v>
                </c:pt>
                <c:pt idx="35">
                  <c:v>0.43442393600808055</c:v>
                </c:pt>
                <c:pt idx="36">
                  <c:v>0.43688110036147115</c:v>
                </c:pt>
                <c:pt idx="37">
                  <c:v>0.44194763850863972</c:v>
                </c:pt>
                <c:pt idx="38">
                  <c:v>0.44701417665580834</c:v>
                </c:pt>
                <c:pt idx="39">
                  <c:v>0.45208071480297696</c:v>
                </c:pt>
                <c:pt idx="40">
                  <c:v>0.45714725295014558</c:v>
                </c:pt>
                <c:pt idx="41">
                  <c:v>0.45575493208710893</c:v>
                </c:pt>
                <c:pt idx="42">
                  <c:v>0.45436261122407229</c:v>
                </c:pt>
                <c:pt idx="43">
                  <c:v>0.45297029036103564</c:v>
                </c:pt>
                <c:pt idx="44">
                  <c:v>0.451577969497999</c:v>
                </c:pt>
                <c:pt idx="45">
                  <c:v>0.45414233305937968</c:v>
                </c:pt>
                <c:pt idx="46">
                  <c:v>0.45670669662076036</c:v>
                </c:pt>
                <c:pt idx="47">
                  <c:v>0.45927106018214103</c:v>
                </c:pt>
                <c:pt idx="48">
                  <c:v>0.46183542374352177</c:v>
                </c:pt>
                <c:pt idx="49">
                  <c:v>0.46442037542082509</c:v>
                </c:pt>
                <c:pt idx="50">
                  <c:v>0.46700532709812848</c:v>
                </c:pt>
                <c:pt idx="51">
                  <c:v>0.46959027877543186</c:v>
                </c:pt>
                <c:pt idx="52">
                  <c:v>0.47217523045273518</c:v>
                </c:pt>
                <c:pt idx="53">
                  <c:v>0.46906976380480059</c:v>
                </c:pt>
                <c:pt idx="54">
                  <c:v>0.46596429715686599</c:v>
                </c:pt>
                <c:pt idx="55">
                  <c:v>0.4628588305089314</c:v>
                </c:pt>
                <c:pt idx="56">
                  <c:v>0.4597533638609968</c:v>
                </c:pt>
                <c:pt idx="57">
                  <c:v>0.45960686537899142</c:v>
                </c:pt>
                <c:pt idx="58">
                  <c:v>0.45946036689698599</c:v>
                </c:pt>
                <c:pt idx="59">
                  <c:v>0.45931386841498051</c:v>
                </c:pt>
                <c:pt idx="60">
                  <c:v>0.45916736993297513</c:v>
                </c:pt>
                <c:pt idx="61">
                  <c:v>0.4511633311066125</c:v>
                </c:pt>
                <c:pt idx="62">
                  <c:v>0.44315929228024992</c:v>
                </c:pt>
                <c:pt idx="63">
                  <c:v>0.43515525345388728</c:v>
                </c:pt>
                <c:pt idx="64">
                  <c:v>0.4271512146275247</c:v>
                </c:pt>
                <c:pt idx="65">
                  <c:v>0.41619933093476064</c:v>
                </c:pt>
                <c:pt idx="66">
                  <c:v>0.40524744724199657</c:v>
                </c:pt>
                <c:pt idx="67">
                  <c:v>0.39429556354923256</c:v>
                </c:pt>
                <c:pt idx="68">
                  <c:v>0.3833436798564685</c:v>
                </c:pt>
                <c:pt idx="69">
                  <c:v>0.3880413544740754</c:v>
                </c:pt>
                <c:pt idx="70">
                  <c:v>0.39273902909168229</c:v>
                </c:pt>
                <c:pt idx="71">
                  <c:v>0.39743670370928919</c:v>
                </c:pt>
                <c:pt idx="72">
                  <c:v>0.40213437832689608</c:v>
                </c:pt>
                <c:pt idx="73">
                  <c:v>0.40092074791985288</c:v>
                </c:pt>
                <c:pt idx="74">
                  <c:v>0.39970711751280968</c:v>
                </c:pt>
                <c:pt idx="75">
                  <c:v>0.39849348710576649</c:v>
                </c:pt>
                <c:pt idx="76">
                  <c:v>0.39727985669872329</c:v>
                </c:pt>
                <c:pt idx="77">
                  <c:v>0.40132161098758973</c:v>
                </c:pt>
                <c:pt idx="78">
                  <c:v>0.40536336527645611</c:v>
                </c:pt>
                <c:pt idx="79">
                  <c:v>0.4094051195653225</c:v>
                </c:pt>
                <c:pt idx="80">
                  <c:v>0.41344687385418893</c:v>
                </c:pt>
                <c:pt idx="81">
                  <c:v>0.41184846471380782</c:v>
                </c:pt>
                <c:pt idx="82">
                  <c:v>0.41025005557342675</c:v>
                </c:pt>
                <c:pt idx="83">
                  <c:v>0.40865164643304563</c:v>
                </c:pt>
                <c:pt idx="84">
                  <c:v>0.40705323729266452</c:v>
                </c:pt>
                <c:pt idx="85">
                  <c:v>0.41365830489483651</c:v>
                </c:pt>
                <c:pt idx="86">
                  <c:v>0.42026337249700851</c:v>
                </c:pt>
                <c:pt idx="87">
                  <c:v>0.42686844009918046</c:v>
                </c:pt>
                <c:pt idx="88">
                  <c:v>0.43347350770135246</c:v>
                </c:pt>
                <c:pt idx="89">
                  <c:v>0.43793315404715621</c:v>
                </c:pt>
                <c:pt idx="90">
                  <c:v>0.44239280039296003</c:v>
                </c:pt>
                <c:pt idx="91">
                  <c:v>0.44685244673876379</c:v>
                </c:pt>
                <c:pt idx="92">
                  <c:v>0.45131209308456754</c:v>
                </c:pt>
                <c:pt idx="93">
                  <c:v>0.45193472899803522</c:v>
                </c:pt>
                <c:pt idx="94">
                  <c:v>0.45255736491150289</c:v>
                </c:pt>
                <c:pt idx="95">
                  <c:v>0.45318000082497056</c:v>
                </c:pt>
                <c:pt idx="96">
                  <c:v>0.45380263673843824</c:v>
                </c:pt>
                <c:pt idx="97">
                  <c:v>0.45291039277427381</c:v>
                </c:pt>
                <c:pt idx="98">
                  <c:v>0.45201814881010938</c:v>
                </c:pt>
                <c:pt idx="99">
                  <c:v>0.45112590484594489</c:v>
                </c:pt>
                <c:pt idx="100">
                  <c:v>0.45023366088178046</c:v>
                </c:pt>
                <c:pt idx="101">
                  <c:v>0.44496373511941095</c:v>
                </c:pt>
                <c:pt idx="102">
                  <c:v>0.4396938093570415</c:v>
                </c:pt>
                <c:pt idx="103">
                  <c:v>0.43442388359467204</c:v>
                </c:pt>
                <c:pt idx="104">
                  <c:v>0.42915395783230254</c:v>
                </c:pt>
                <c:pt idx="105">
                  <c:v>0.42304634991989304</c:v>
                </c:pt>
                <c:pt idx="106">
                  <c:v>0.41693874200748349</c:v>
                </c:pt>
                <c:pt idx="107">
                  <c:v>0.41083113409507399</c:v>
                </c:pt>
                <c:pt idx="108">
                  <c:v>0.40472352618266449</c:v>
                </c:pt>
                <c:pt idx="109">
                  <c:v>0.40556413792831758</c:v>
                </c:pt>
                <c:pt idx="110">
                  <c:v>0.40640474967397072</c:v>
                </c:pt>
                <c:pt idx="111">
                  <c:v>0.40724536141962381</c:v>
                </c:pt>
                <c:pt idx="112">
                  <c:v>0.40808597316527695</c:v>
                </c:pt>
                <c:pt idx="113">
                  <c:v>0.39865298708901642</c:v>
                </c:pt>
                <c:pt idx="114">
                  <c:v>0.38922000101275589</c:v>
                </c:pt>
                <c:pt idx="115">
                  <c:v>0.37978701493649536</c:v>
                </c:pt>
                <c:pt idx="116">
                  <c:v>0.37035402886023489</c:v>
                </c:pt>
                <c:pt idx="117">
                  <c:v>0.36628738115267051</c:v>
                </c:pt>
                <c:pt idx="118">
                  <c:v>0.36222073344510619</c:v>
                </c:pt>
                <c:pt idx="119">
                  <c:v>0.35815408573754187</c:v>
                </c:pt>
                <c:pt idx="120">
                  <c:v>0.3540874380299775</c:v>
                </c:pt>
                <c:pt idx="121">
                  <c:v>0.35305589466294296</c:v>
                </c:pt>
                <c:pt idx="122">
                  <c:v>0.35202435129590837</c:v>
                </c:pt>
                <c:pt idx="123">
                  <c:v>0.35099280792887377</c:v>
                </c:pt>
                <c:pt idx="124">
                  <c:v>0.34996126456183924</c:v>
                </c:pt>
                <c:pt idx="125">
                  <c:v>0.35286185801159503</c:v>
                </c:pt>
                <c:pt idx="126">
                  <c:v>0.35576245146135088</c:v>
                </c:pt>
                <c:pt idx="127">
                  <c:v>0.35866304491110673</c:v>
                </c:pt>
                <c:pt idx="128">
                  <c:v>0.36156363836086253</c:v>
                </c:pt>
                <c:pt idx="129">
                  <c:v>0.3586208723738229</c:v>
                </c:pt>
                <c:pt idx="130">
                  <c:v>0.35567810638678321</c:v>
                </c:pt>
                <c:pt idx="131">
                  <c:v>0.35273534039974352</c:v>
                </c:pt>
                <c:pt idx="132">
                  <c:v>0.34979257441270389</c:v>
                </c:pt>
                <c:pt idx="133">
                  <c:v>0.35550332229678666</c:v>
                </c:pt>
                <c:pt idx="134">
                  <c:v>0.36121407018086943</c:v>
                </c:pt>
                <c:pt idx="135">
                  <c:v>0.3669248180649522</c:v>
                </c:pt>
                <c:pt idx="136">
                  <c:v>0.37263556594903496</c:v>
                </c:pt>
                <c:pt idx="137">
                  <c:v>0.37035720754465606</c:v>
                </c:pt>
                <c:pt idx="138">
                  <c:v>0.36807884914027722</c:v>
                </c:pt>
                <c:pt idx="139">
                  <c:v>0.36580049073589832</c:v>
                </c:pt>
                <c:pt idx="140">
                  <c:v>0.36352213233151942</c:v>
                </c:pt>
              </c:numCache>
            </c:numRef>
          </c:val>
          <c:smooth val="0"/>
          <c:extLst>
            <c:ext xmlns:c16="http://schemas.microsoft.com/office/drawing/2014/chart" uri="{C3380CC4-5D6E-409C-BE32-E72D297353CC}">
              <c16:uniqueId val="{00000003-178B-4913-92C9-8D90CD1DE550}"/>
            </c:ext>
          </c:extLst>
        </c:ser>
        <c:ser>
          <c:idx val="1"/>
          <c:order val="1"/>
          <c:tx>
            <c:strRef>
              <c:f>'Exhibit 7.2 - BS Method'!$Q$1</c:f>
              <c:strCache>
                <c:ptCount val="1"/>
                <c:pt idx="0">
                  <c:v>Trend**</c:v>
                </c:pt>
              </c:strCache>
            </c:strRef>
          </c:tx>
          <c:spPr>
            <a:ln w="19050" cap="rnd">
              <a:solidFill>
                <a:srgbClr val="0070C0"/>
              </a:solidFill>
              <a:prstDash val="sysDot"/>
              <a:round/>
            </a:ln>
            <a:effectLst/>
          </c:spPr>
          <c:marker>
            <c:symbol val="none"/>
          </c:marker>
          <c:dPt>
            <c:idx val="124"/>
            <c:marker>
              <c:symbol val="none"/>
            </c:marker>
            <c:bubble3D val="0"/>
            <c:extLst>
              <c:ext xmlns:c16="http://schemas.microsoft.com/office/drawing/2014/chart" uri="{C3380CC4-5D6E-409C-BE32-E72D297353CC}">
                <c16:uniqueId val="{00000004-178B-4913-92C9-8D90CD1DE550}"/>
              </c:ext>
            </c:extLst>
          </c:dPt>
          <c:dPt>
            <c:idx val="127"/>
            <c:marker>
              <c:symbol val="none"/>
            </c:marker>
            <c:bubble3D val="0"/>
            <c:extLst>
              <c:ext xmlns:c16="http://schemas.microsoft.com/office/drawing/2014/chart" uri="{C3380CC4-5D6E-409C-BE32-E72D297353CC}">
                <c16:uniqueId val="{00000005-178B-4913-92C9-8D90CD1DE550}"/>
              </c:ext>
            </c:extLst>
          </c:dPt>
          <c:dPt>
            <c:idx val="128"/>
            <c:marker>
              <c:symbol val="triangle"/>
              <c:size val="7"/>
              <c:spPr>
                <a:solidFill>
                  <a:schemeClr val="tx1"/>
                </a:solidFill>
                <a:ln w="9525">
                  <a:noFill/>
                </a:ln>
                <a:effectLst/>
              </c:spPr>
            </c:marker>
            <c:bubble3D val="0"/>
            <c:extLst>
              <c:ext xmlns:c16="http://schemas.microsoft.com/office/drawing/2014/chart" uri="{C3380CC4-5D6E-409C-BE32-E72D297353CC}">
                <c16:uniqueId val="{00000006-178B-4913-92C9-8D90CD1DE550}"/>
              </c:ext>
            </c:extLst>
          </c:dPt>
          <c:dPt>
            <c:idx val="130"/>
            <c:marker>
              <c:symbol val="none"/>
            </c:marker>
            <c:bubble3D val="0"/>
            <c:extLst>
              <c:ext xmlns:c16="http://schemas.microsoft.com/office/drawing/2014/chart" uri="{C3380CC4-5D6E-409C-BE32-E72D297353CC}">
                <c16:uniqueId val="{00000007-178B-4913-92C9-8D90CD1DE550}"/>
              </c:ext>
            </c:extLst>
          </c:dPt>
          <c:dPt>
            <c:idx val="131"/>
            <c:marker>
              <c:symbol val="none"/>
            </c:marker>
            <c:bubble3D val="0"/>
            <c:extLst>
              <c:ext xmlns:c16="http://schemas.microsoft.com/office/drawing/2014/chart" uri="{C3380CC4-5D6E-409C-BE32-E72D297353CC}">
                <c16:uniqueId val="{00000008-178B-4913-92C9-8D90CD1DE550}"/>
              </c:ext>
            </c:extLst>
          </c:dPt>
          <c:dPt>
            <c:idx val="132"/>
            <c:marker>
              <c:symbol val="none"/>
            </c:marker>
            <c:bubble3D val="0"/>
            <c:extLst>
              <c:ext xmlns:c16="http://schemas.microsoft.com/office/drawing/2014/chart" uri="{C3380CC4-5D6E-409C-BE32-E72D297353CC}">
                <c16:uniqueId val="{00000010-370D-4C86-BC05-7A4AA08709C5}"/>
              </c:ext>
            </c:extLst>
          </c:dPt>
          <c:dPt>
            <c:idx val="134"/>
            <c:marker>
              <c:symbol val="none"/>
            </c:marker>
            <c:bubble3D val="0"/>
            <c:extLst>
              <c:ext xmlns:c16="http://schemas.microsoft.com/office/drawing/2014/chart" uri="{C3380CC4-5D6E-409C-BE32-E72D297353CC}">
                <c16:uniqueId val="{00000009-178B-4913-92C9-8D90CD1DE550}"/>
              </c:ext>
            </c:extLst>
          </c:dPt>
          <c:dPt>
            <c:idx val="135"/>
            <c:marker>
              <c:symbol val="none"/>
            </c:marker>
            <c:bubble3D val="0"/>
            <c:spPr>
              <a:ln w="19050" cap="rnd">
                <a:solidFill>
                  <a:schemeClr val="accent5"/>
                </a:solidFill>
                <a:prstDash val="sysDot"/>
                <a:round/>
              </a:ln>
              <a:effectLst/>
            </c:spPr>
            <c:extLst>
              <c:ext xmlns:c16="http://schemas.microsoft.com/office/drawing/2014/chart" uri="{C3380CC4-5D6E-409C-BE32-E72D297353CC}">
                <c16:uniqueId val="{0000000A-178B-4913-92C9-8D90CD1DE550}"/>
              </c:ext>
            </c:extLst>
          </c:dPt>
          <c:dPt>
            <c:idx val="138"/>
            <c:marker>
              <c:symbol val="none"/>
            </c:marker>
            <c:bubble3D val="0"/>
            <c:extLst>
              <c:ext xmlns:c16="http://schemas.microsoft.com/office/drawing/2014/chart" uri="{C3380CC4-5D6E-409C-BE32-E72D297353CC}">
                <c16:uniqueId val="{0000000B-178B-4913-92C9-8D90CD1DE550}"/>
              </c:ext>
            </c:extLst>
          </c:dPt>
          <c:dPt>
            <c:idx val="139"/>
            <c:marker>
              <c:symbol val="none"/>
            </c:marker>
            <c:bubble3D val="0"/>
            <c:extLst>
              <c:ext xmlns:c16="http://schemas.microsoft.com/office/drawing/2014/chart" uri="{C3380CC4-5D6E-409C-BE32-E72D297353CC}">
                <c16:uniqueId val="{0000000D-685D-4BA2-88DA-4327E4057036}"/>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4-E6D6-4999-ADF7-17888CE47ED3}"/>
              </c:ext>
            </c:extLst>
          </c:dPt>
          <c:dPt>
            <c:idx val="141"/>
            <c:marker>
              <c:symbol val="none"/>
            </c:marker>
            <c:bubble3D val="0"/>
            <c:extLst>
              <c:ext xmlns:c16="http://schemas.microsoft.com/office/drawing/2014/chart" uri="{C3380CC4-5D6E-409C-BE32-E72D297353CC}">
                <c16:uniqueId val="{0000000F-370D-4C86-BC05-7A4AA08709C5}"/>
              </c:ext>
            </c:extLst>
          </c:dPt>
          <c:dPt>
            <c:idx val="142"/>
            <c:marker>
              <c:symbol val="none"/>
            </c:marker>
            <c:bubble3D val="0"/>
            <c:extLst>
              <c:ext xmlns:c16="http://schemas.microsoft.com/office/drawing/2014/chart" uri="{C3380CC4-5D6E-409C-BE32-E72D297353CC}">
                <c16:uniqueId val="{00000011-E5E9-45ED-820B-F9EAB869FF3E}"/>
              </c:ext>
            </c:extLst>
          </c:dPt>
          <c:dPt>
            <c:idx val="143"/>
            <c:marker>
              <c:symbol val="none"/>
            </c:marker>
            <c:bubble3D val="0"/>
            <c:extLst>
              <c:ext xmlns:c16="http://schemas.microsoft.com/office/drawing/2014/chart" uri="{C3380CC4-5D6E-409C-BE32-E72D297353CC}">
                <c16:uniqueId val="{00000013-E6D6-4999-ADF7-17888CE47ED3}"/>
              </c:ext>
            </c:extLst>
          </c:dPt>
          <c:dPt>
            <c:idx val="146"/>
            <c:marker>
              <c:symbol val="none"/>
            </c:marker>
            <c:bubble3D val="0"/>
            <c:extLst>
              <c:ext xmlns:c16="http://schemas.microsoft.com/office/drawing/2014/chart" uri="{C3380CC4-5D6E-409C-BE32-E72D297353CC}">
                <c16:uniqueId val="{00000012-E6D6-4999-ADF7-17888CE47ED3}"/>
              </c:ext>
            </c:extLst>
          </c:dPt>
          <c:dPt>
            <c:idx val="150"/>
            <c:marker>
              <c:symbol val="square"/>
              <c:size val="7"/>
              <c:spPr>
                <a:solidFill>
                  <a:schemeClr val="accent1"/>
                </a:solidFill>
                <a:ln w="9525">
                  <a:solidFill>
                    <a:schemeClr val="tx1"/>
                  </a:solidFill>
                </a:ln>
                <a:effectLst/>
              </c:spPr>
            </c:marker>
            <c:bubble3D val="0"/>
            <c:extLst>
              <c:ext xmlns:c16="http://schemas.microsoft.com/office/drawing/2014/chart" uri="{C3380CC4-5D6E-409C-BE32-E72D297353CC}">
                <c16:uniqueId val="{00000017-3BF2-4B4D-AEEB-ADF71E81D56A}"/>
              </c:ext>
            </c:extLst>
          </c:dPt>
          <c:dLbls>
            <c:dLbl>
              <c:idx val="14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D6-4999-ADF7-17888CE47ED3}"/>
                </c:ext>
              </c:extLst>
            </c:dLbl>
            <c:dLbl>
              <c:idx val="15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BF2-4B4D-AEEB-ADF71E81D5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7.2 - BS Method'!$O$2:$O$150</c:f>
              <c:numCache>
                <c:formatCode>General</c:formatCode>
                <c:ptCount val="149"/>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3">
                  <c:v>2010.25</c:v>
                </c:pt>
                <c:pt idx="94">
                  <c:v>2010.5</c:v>
                </c:pt>
                <c:pt idx="95">
                  <c:v>2010.75</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numCache>
            </c:numRef>
          </c:cat>
          <c:val>
            <c:numRef>
              <c:f>'Exhibit 7.2 - BS Method'!$Q$2:$Q$152</c:f>
              <c:numCache>
                <c:formatCode>General</c:formatCode>
                <c:ptCount val="151"/>
                <c:pt idx="140" formatCode="0.000">
                  <c:v>0.36352213233151942</c:v>
                </c:pt>
                <c:pt idx="141" formatCode="0.000">
                  <c:v>0.36527221341785676</c:v>
                </c:pt>
                <c:pt idx="142" formatCode="0.000">
                  <c:v>0.3670222945041941</c:v>
                </c:pt>
                <c:pt idx="143" formatCode="0.000">
                  <c:v>0.36877237559053144</c:v>
                </c:pt>
                <c:pt idx="144" formatCode="0.000">
                  <c:v>0.37052245667686878</c:v>
                </c:pt>
                <c:pt idx="145" formatCode="0.000">
                  <c:v>0.36988319973139916</c:v>
                </c:pt>
                <c:pt idx="146" formatCode="0.000">
                  <c:v>0.36924394278592954</c:v>
                </c:pt>
                <c:pt idx="147" formatCode="0.000">
                  <c:v>0.36860468584045991</c:v>
                </c:pt>
                <c:pt idx="148" formatCode="0.000">
                  <c:v>0.36796542889499029</c:v>
                </c:pt>
                <c:pt idx="149" formatCode="0.000">
                  <c:v>0.36790279331706643</c:v>
                </c:pt>
                <c:pt idx="150" formatCode="0.000">
                  <c:v>0.36784015773914253</c:v>
                </c:pt>
              </c:numCache>
            </c:numRef>
          </c:val>
          <c:smooth val="0"/>
          <c:extLst>
            <c:ext xmlns:c16="http://schemas.microsoft.com/office/drawing/2014/chart" uri="{C3380CC4-5D6E-409C-BE32-E72D297353CC}">
              <c16:uniqueId val="{0000000C-178B-4913-92C9-8D90CD1DE550}"/>
            </c:ext>
          </c:extLst>
        </c:ser>
        <c:dLbls>
          <c:showLegendKey val="0"/>
          <c:showVal val="0"/>
          <c:showCatName val="0"/>
          <c:showSerName val="0"/>
          <c:showPercent val="0"/>
          <c:showBubbleSize val="0"/>
        </c:dLbls>
        <c:smooth val="0"/>
        <c:axId val="765327400"/>
        <c:axId val="765323872"/>
      </c:lineChart>
      <c:catAx>
        <c:axId val="765327400"/>
        <c:scaling>
          <c:orientation val="minMax"/>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3872"/>
        <c:crosses val="autoZero"/>
        <c:auto val="1"/>
        <c:lblAlgn val="ctr"/>
        <c:lblOffset val="100"/>
        <c:tickMarkSkip val="1"/>
        <c:noMultiLvlLbl val="0"/>
      </c:catAx>
      <c:valAx>
        <c:axId val="765323872"/>
        <c:scaling>
          <c:orientation val="minMax"/>
          <c:max val="0.5"/>
          <c:min val="0.1"/>
        </c:scaling>
        <c:delete val="0"/>
        <c:axPos val="l"/>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7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'Exhibit 7.4 - BS Method'!$P$1</c:f>
              <c:strCache>
                <c:ptCount val="1"/>
                <c:pt idx="0">
                  <c:v>On-Level Ratio*</c:v>
                </c:pt>
              </c:strCache>
            </c:strRef>
          </c:tx>
          <c:spPr>
            <a:ln w="19050" cap="rnd">
              <a:solidFill>
                <a:srgbClr val="FF0000"/>
              </a:solidFill>
              <a:round/>
            </a:ln>
            <a:effectLst/>
          </c:spPr>
          <c:marker>
            <c:symbol val="none"/>
          </c:marker>
          <c:dPt>
            <c:idx val="116"/>
            <c:marker>
              <c:symbol val="none"/>
            </c:marker>
            <c:bubble3D val="0"/>
            <c:extLst>
              <c:ext xmlns:c16="http://schemas.microsoft.com/office/drawing/2014/chart" uri="{C3380CC4-5D6E-409C-BE32-E72D297353CC}">
                <c16:uniqueId val="{00000000-670E-4391-B76E-182AE7C4C9F8}"/>
              </c:ext>
            </c:extLst>
          </c:dPt>
          <c:dPt>
            <c:idx val="120"/>
            <c:marker>
              <c:symbol val="none"/>
            </c:marker>
            <c:bubble3D val="0"/>
            <c:extLst>
              <c:ext xmlns:c16="http://schemas.microsoft.com/office/drawing/2014/chart" uri="{C3380CC4-5D6E-409C-BE32-E72D297353CC}">
                <c16:uniqueId val="{00000001-670E-4391-B76E-182AE7C4C9F8}"/>
              </c:ext>
            </c:extLst>
          </c:dPt>
          <c:dPt>
            <c:idx val="124"/>
            <c:marker>
              <c:symbol val="none"/>
            </c:marker>
            <c:bubble3D val="0"/>
            <c:extLst>
              <c:ext xmlns:c16="http://schemas.microsoft.com/office/drawing/2014/chart" uri="{C3380CC4-5D6E-409C-BE32-E72D297353CC}">
                <c16:uniqueId val="{00000002-670E-4391-B76E-182AE7C4C9F8}"/>
              </c:ext>
            </c:extLst>
          </c:dPt>
          <c:dPt>
            <c:idx val="128"/>
            <c:marker>
              <c:symbol val="none"/>
            </c:marker>
            <c:bubble3D val="0"/>
            <c:extLst>
              <c:ext xmlns:c16="http://schemas.microsoft.com/office/drawing/2014/chart" uri="{C3380CC4-5D6E-409C-BE32-E72D297353CC}">
                <c16:uniqueId val="{0000000C-CC31-4A4E-883E-2428D34E53E7}"/>
              </c:ext>
            </c:extLst>
          </c:dPt>
          <c:dPt>
            <c:idx val="132"/>
            <c:marker>
              <c:symbol val="none"/>
            </c:marker>
            <c:bubble3D val="0"/>
            <c:extLst>
              <c:ext xmlns:c16="http://schemas.microsoft.com/office/drawing/2014/chart" uri="{C3380CC4-5D6E-409C-BE32-E72D297353CC}">
                <c16:uniqueId val="{0000000B-CC31-4A4E-883E-2428D34E53E7}"/>
              </c:ext>
            </c:extLst>
          </c:dPt>
          <c:dPt>
            <c:idx val="136"/>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3-51FA-485E-B2FB-ACA1A3F81B71}"/>
              </c:ext>
            </c:extLst>
          </c:dPt>
          <c:dLbls>
            <c:dLbl>
              <c:idx val="13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1FA-485E-B2FB-ACA1A3F81B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7.4 - BS Method'!$O$2:$O$150</c:f>
              <c:numCache>
                <c:formatCode>General</c:formatCode>
                <c:ptCount val="149"/>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numCache>
            </c:numRef>
          </c:cat>
          <c:val>
            <c:numRef>
              <c:f>'Exhibit 7.4 - BS Method'!$P$2:$P$148</c:f>
              <c:numCache>
                <c:formatCode>0.000</c:formatCode>
                <c:ptCount val="147"/>
                <c:pt idx="0">
                  <c:v>0.14879870340098297</c:v>
                </c:pt>
                <c:pt idx="1">
                  <c:v>0.15167219836886678</c:v>
                </c:pt>
                <c:pt idx="2">
                  <c:v>0.15454569333675061</c:v>
                </c:pt>
                <c:pt idx="3">
                  <c:v>0.15741918830463442</c:v>
                </c:pt>
                <c:pt idx="4">
                  <c:v>0.16029268327251822</c:v>
                </c:pt>
                <c:pt idx="5">
                  <c:v>0.16339155256233157</c:v>
                </c:pt>
                <c:pt idx="6">
                  <c:v>0.16649042185214488</c:v>
                </c:pt>
                <c:pt idx="7">
                  <c:v>0.1695892911419582</c:v>
                </c:pt>
                <c:pt idx="8">
                  <c:v>0.17268816043177154</c:v>
                </c:pt>
                <c:pt idx="9">
                  <c:v>0.17209802111074618</c:v>
                </c:pt>
                <c:pt idx="10">
                  <c:v>0.17150788178972082</c:v>
                </c:pt>
                <c:pt idx="11">
                  <c:v>0.17091774246869545</c:v>
                </c:pt>
                <c:pt idx="12">
                  <c:v>0.17032760314767012</c:v>
                </c:pt>
                <c:pt idx="13">
                  <c:v>0.16998374031676369</c:v>
                </c:pt>
                <c:pt idx="14">
                  <c:v>0.16963987748585729</c:v>
                </c:pt>
                <c:pt idx="15">
                  <c:v>0.16929601465495089</c:v>
                </c:pt>
                <c:pt idx="16">
                  <c:v>0.16895215182404447</c:v>
                </c:pt>
                <c:pt idx="17">
                  <c:v>0.1674259553229524</c:v>
                </c:pt>
                <c:pt idx="18">
                  <c:v>0.16589975882186031</c:v>
                </c:pt>
                <c:pt idx="19">
                  <c:v>0.16437356232076822</c:v>
                </c:pt>
                <c:pt idx="20">
                  <c:v>0.16284736581967613</c:v>
                </c:pt>
                <c:pt idx="21">
                  <c:v>0.16366128396883348</c:v>
                </c:pt>
                <c:pt idx="22">
                  <c:v>0.16447520211799083</c:v>
                </c:pt>
                <c:pt idx="23">
                  <c:v>0.16528912026714815</c:v>
                </c:pt>
                <c:pt idx="24">
                  <c:v>0.1661030384163055</c:v>
                </c:pt>
                <c:pt idx="25">
                  <c:v>0.16888100752551499</c:v>
                </c:pt>
                <c:pt idx="26">
                  <c:v>0.17165897663472446</c:v>
                </c:pt>
                <c:pt idx="27">
                  <c:v>0.1744369457439339</c:v>
                </c:pt>
                <c:pt idx="28">
                  <c:v>0.17721491485314339</c:v>
                </c:pt>
                <c:pt idx="29">
                  <c:v>0.18212276017357451</c:v>
                </c:pt>
                <c:pt idx="30">
                  <c:v>0.18703060549400566</c:v>
                </c:pt>
                <c:pt idx="31">
                  <c:v>0.19193845081443678</c:v>
                </c:pt>
                <c:pt idx="32">
                  <c:v>0.19684629613486793</c:v>
                </c:pt>
                <c:pt idx="33">
                  <c:v>0.19841949544753529</c:v>
                </c:pt>
                <c:pt idx="34">
                  <c:v>0.19999269476020268</c:v>
                </c:pt>
                <c:pt idx="35">
                  <c:v>0.20156589407287004</c:v>
                </c:pt>
                <c:pt idx="36">
                  <c:v>0.20313909338553743</c:v>
                </c:pt>
                <c:pt idx="37">
                  <c:v>0.21072504898152972</c:v>
                </c:pt>
                <c:pt idx="38">
                  <c:v>0.21831100457752201</c:v>
                </c:pt>
                <c:pt idx="39">
                  <c:v>0.22589696017351429</c:v>
                </c:pt>
                <c:pt idx="40">
                  <c:v>0.23348291576950658</c:v>
                </c:pt>
                <c:pt idx="41">
                  <c:v>0.23614038718569438</c:v>
                </c:pt>
                <c:pt idx="42">
                  <c:v>0.23879785860188224</c:v>
                </c:pt>
                <c:pt idx="43">
                  <c:v>0.24145533001807007</c:v>
                </c:pt>
                <c:pt idx="44">
                  <c:v>0.24411280143425787</c:v>
                </c:pt>
                <c:pt idx="45">
                  <c:v>0.24424714554980409</c:v>
                </c:pt>
                <c:pt idx="46">
                  <c:v>0.24438148966535028</c:v>
                </c:pt>
                <c:pt idx="47">
                  <c:v>0.24451583378089647</c:v>
                </c:pt>
                <c:pt idx="48">
                  <c:v>0.24465017789644269</c:v>
                </c:pt>
                <c:pt idx="49">
                  <c:v>0.24787935121020765</c:v>
                </c:pt>
                <c:pt idx="50">
                  <c:v>0.25110852452397264</c:v>
                </c:pt>
                <c:pt idx="51">
                  <c:v>0.25433769783773758</c:v>
                </c:pt>
                <c:pt idx="52">
                  <c:v>0.25756687115150256</c:v>
                </c:pt>
                <c:pt idx="53">
                  <c:v>0.254413213047473</c:v>
                </c:pt>
                <c:pt idx="54">
                  <c:v>0.25125955494344343</c:v>
                </c:pt>
                <c:pt idx="55">
                  <c:v>0.24810589683941386</c:v>
                </c:pt>
                <c:pt idx="56">
                  <c:v>0.2449522387353843</c:v>
                </c:pt>
                <c:pt idx="57">
                  <c:v>0.24840253613125118</c:v>
                </c:pt>
                <c:pt idx="58">
                  <c:v>0.25185283352711807</c:v>
                </c:pt>
                <c:pt idx="59">
                  <c:v>0.25530313092298496</c:v>
                </c:pt>
                <c:pt idx="60">
                  <c:v>0.2587534283188519</c:v>
                </c:pt>
                <c:pt idx="61">
                  <c:v>0.25572845102525682</c:v>
                </c:pt>
                <c:pt idx="62">
                  <c:v>0.2527034737316618</c:v>
                </c:pt>
                <c:pt idx="63">
                  <c:v>0.24967849643806672</c:v>
                </c:pt>
                <c:pt idx="64">
                  <c:v>0.24665351914447164</c:v>
                </c:pt>
                <c:pt idx="65">
                  <c:v>0.25477166290550168</c:v>
                </c:pt>
                <c:pt idx="66">
                  <c:v>0.26288980666653167</c:v>
                </c:pt>
                <c:pt idx="67">
                  <c:v>0.27100795042756165</c:v>
                </c:pt>
                <c:pt idx="68">
                  <c:v>0.27912609418859169</c:v>
                </c:pt>
                <c:pt idx="69">
                  <c:v>0.28134794522359319</c:v>
                </c:pt>
                <c:pt idx="70">
                  <c:v>0.28356979625859469</c:v>
                </c:pt>
                <c:pt idx="71">
                  <c:v>0.28579164729359618</c:v>
                </c:pt>
                <c:pt idx="72">
                  <c:v>0.28801349832859763</c:v>
                </c:pt>
                <c:pt idx="73">
                  <c:v>0.29232778533897591</c:v>
                </c:pt>
                <c:pt idx="74">
                  <c:v>0.29664207234935414</c:v>
                </c:pt>
                <c:pt idx="75">
                  <c:v>0.30095635935973242</c:v>
                </c:pt>
                <c:pt idx="76">
                  <c:v>0.3052706463701107</c:v>
                </c:pt>
                <c:pt idx="77">
                  <c:v>0.31148139366868277</c:v>
                </c:pt>
                <c:pt idx="78">
                  <c:v>0.3176921409672549</c:v>
                </c:pt>
                <c:pt idx="79">
                  <c:v>0.32390288826582703</c:v>
                </c:pt>
                <c:pt idx="80">
                  <c:v>0.3301136355643991</c:v>
                </c:pt>
                <c:pt idx="81">
                  <c:v>0.3325183362295665</c:v>
                </c:pt>
                <c:pt idx="82">
                  <c:v>0.33492303689473385</c:v>
                </c:pt>
                <c:pt idx="83">
                  <c:v>0.3373277375599012</c:v>
                </c:pt>
                <c:pt idx="84">
                  <c:v>0.3397324382250686</c:v>
                </c:pt>
                <c:pt idx="85">
                  <c:v>0.34632391250273964</c:v>
                </c:pt>
                <c:pt idx="86">
                  <c:v>0.35291538678041068</c:v>
                </c:pt>
                <c:pt idx="87">
                  <c:v>0.35950686105808172</c:v>
                </c:pt>
                <c:pt idx="88">
                  <c:v>0.36609833533575276</c:v>
                </c:pt>
                <c:pt idx="89">
                  <c:v>0.37364353018261692</c:v>
                </c:pt>
                <c:pt idx="90">
                  <c:v>0.38118872502948109</c:v>
                </c:pt>
                <c:pt idx="91">
                  <c:v>0.3887339198763452</c:v>
                </c:pt>
                <c:pt idx="92">
                  <c:v>0.39627911472320937</c:v>
                </c:pt>
                <c:pt idx="96">
                  <c:v>0.38120461367159064</c:v>
                </c:pt>
                <c:pt idx="97">
                  <c:v>0.38283490426779793</c:v>
                </c:pt>
                <c:pt idx="98">
                  <c:v>0.38446519486400532</c:v>
                </c:pt>
                <c:pt idx="99">
                  <c:v>0.38609548546021266</c:v>
                </c:pt>
                <c:pt idx="100">
                  <c:v>0.38772577605641995</c:v>
                </c:pt>
                <c:pt idx="101">
                  <c:v>0.38826634125971593</c:v>
                </c:pt>
                <c:pt idx="102">
                  <c:v>0.38880690646301186</c:v>
                </c:pt>
                <c:pt idx="103">
                  <c:v>0.38934747166630784</c:v>
                </c:pt>
                <c:pt idx="104">
                  <c:v>0.38988803686960383</c:v>
                </c:pt>
                <c:pt idx="105">
                  <c:v>0.39332930053188775</c:v>
                </c:pt>
                <c:pt idx="106">
                  <c:v>0.39677056419417167</c:v>
                </c:pt>
                <c:pt idx="107">
                  <c:v>0.40021182785645565</c:v>
                </c:pt>
                <c:pt idx="108">
                  <c:v>0.40365309151873957</c:v>
                </c:pt>
                <c:pt idx="109">
                  <c:v>0.40534316940282022</c:v>
                </c:pt>
                <c:pt idx="110">
                  <c:v>0.40703324728690093</c:v>
                </c:pt>
                <c:pt idx="111">
                  <c:v>0.40872332517098153</c:v>
                </c:pt>
                <c:pt idx="112">
                  <c:v>0.41041340305506224</c:v>
                </c:pt>
                <c:pt idx="113">
                  <c:v>0.40290618961300084</c:v>
                </c:pt>
                <c:pt idx="114">
                  <c:v>0.39539897617093944</c:v>
                </c:pt>
                <c:pt idx="115">
                  <c:v>0.38789176272887804</c:v>
                </c:pt>
                <c:pt idx="116">
                  <c:v>0.3803845492868167</c:v>
                </c:pt>
                <c:pt idx="117">
                  <c:v>0.37850110312245688</c:v>
                </c:pt>
                <c:pt idx="118">
                  <c:v>0.37661765695809712</c:v>
                </c:pt>
                <c:pt idx="119">
                  <c:v>0.37473421079373731</c:v>
                </c:pt>
                <c:pt idx="120">
                  <c:v>0.3728507646293775</c:v>
                </c:pt>
                <c:pt idx="121">
                  <c:v>0.37590204838457669</c:v>
                </c:pt>
                <c:pt idx="122">
                  <c:v>0.37895333213977589</c:v>
                </c:pt>
                <c:pt idx="123">
                  <c:v>0.38200461589497509</c:v>
                </c:pt>
                <c:pt idx="124">
                  <c:v>0.38505589965017428</c:v>
                </c:pt>
                <c:pt idx="125">
                  <c:v>0.38517500747984545</c:v>
                </c:pt>
                <c:pt idx="126">
                  <c:v>0.38529411530951663</c:v>
                </c:pt>
                <c:pt idx="127">
                  <c:v>0.38541322313918785</c:v>
                </c:pt>
                <c:pt idx="128">
                  <c:v>0.38553233096885903</c:v>
                </c:pt>
                <c:pt idx="129">
                  <c:v>0.3820060387337551</c:v>
                </c:pt>
                <c:pt idx="130">
                  <c:v>0.37847974649865113</c:v>
                </c:pt>
                <c:pt idx="131">
                  <c:v>0.3749534542635472</c:v>
                </c:pt>
                <c:pt idx="132">
                  <c:v>0.37142716202844328</c:v>
                </c:pt>
                <c:pt idx="133">
                  <c:v>0.37808635703394594</c:v>
                </c:pt>
                <c:pt idx="134">
                  <c:v>0.3847455520394486</c:v>
                </c:pt>
                <c:pt idx="135">
                  <c:v>0.39140474704495121</c:v>
                </c:pt>
                <c:pt idx="136">
                  <c:v>0.39806394205045387</c:v>
                </c:pt>
                <c:pt idx="137">
                  <c:v>0.38990480453461007</c:v>
                </c:pt>
                <c:pt idx="138">
                  <c:v>0.38174566701876633</c:v>
                </c:pt>
                <c:pt idx="139">
                  <c:v>0.37358652950292254</c:v>
                </c:pt>
                <c:pt idx="140">
                  <c:v>0.36542739198707874</c:v>
                </c:pt>
              </c:numCache>
            </c:numRef>
          </c:val>
          <c:smooth val="0"/>
          <c:extLst>
            <c:ext xmlns:c16="http://schemas.microsoft.com/office/drawing/2014/chart" uri="{C3380CC4-5D6E-409C-BE32-E72D297353CC}">
              <c16:uniqueId val="{00000003-670E-4391-B76E-182AE7C4C9F8}"/>
            </c:ext>
          </c:extLst>
        </c:ser>
        <c:ser>
          <c:idx val="1"/>
          <c:order val="1"/>
          <c:tx>
            <c:strRef>
              <c:f>'Exhibit 7.4 - BS Method'!$Q$1</c:f>
              <c:strCache>
                <c:ptCount val="1"/>
                <c:pt idx="0">
                  <c:v>Trend**</c:v>
                </c:pt>
              </c:strCache>
            </c:strRef>
          </c:tx>
          <c:spPr>
            <a:ln w="19050" cap="rnd">
              <a:solidFill>
                <a:srgbClr val="0070C0"/>
              </a:solidFill>
              <a:prstDash val="sysDot"/>
              <a:round/>
            </a:ln>
            <a:effectLst/>
          </c:spPr>
          <c:marker>
            <c:symbol val="none"/>
          </c:marker>
          <c:dPt>
            <c:idx val="127"/>
            <c:marker>
              <c:symbol val="none"/>
            </c:marker>
            <c:bubble3D val="0"/>
            <c:extLst>
              <c:ext xmlns:c16="http://schemas.microsoft.com/office/drawing/2014/chart" uri="{C3380CC4-5D6E-409C-BE32-E72D297353CC}">
                <c16:uniqueId val="{00000004-670E-4391-B76E-182AE7C4C9F8}"/>
              </c:ext>
            </c:extLst>
          </c:dPt>
          <c:dPt>
            <c:idx val="128"/>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05-670E-4391-B76E-182AE7C4C9F8}"/>
              </c:ext>
            </c:extLst>
          </c:dPt>
          <c:dPt>
            <c:idx val="130"/>
            <c:marker>
              <c:symbol val="none"/>
            </c:marker>
            <c:bubble3D val="0"/>
            <c:extLst>
              <c:ext xmlns:c16="http://schemas.microsoft.com/office/drawing/2014/chart" uri="{C3380CC4-5D6E-409C-BE32-E72D297353CC}">
                <c16:uniqueId val="{00000006-670E-4391-B76E-182AE7C4C9F8}"/>
              </c:ext>
            </c:extLst>
          </c:dPt>
          <c:dPt>
            <c:idx val="132"/>
            <c:marker>
              <c:symbol val="none"/>
            </c:marker>
            <c:bubble3D val="0"/>
            <c:extLst>
              <c:ext xmlns:c16="http://schemas.microsoft.com/office/drawing/2014/chart" uri="{C3380CC4-5D6E-409C-BE32-E72D297353CC}">
                <c16:uniqueId val="{00000012-3A2E-40F3-BA76-09DA8A70122A}"/>
              </c:ext>
            </c:extLst>
          </c:dPt>
          <c:dPt>
            <c:idx val="134"/>
            <c:marker>
              <c:symbol val="none"/>
            </c:marker>
            <c:bubble3D val="0"/>
            <c:extLst>
              <c:ext xmlns:c16="http://schemas.microsoft.com/office/drawing/2014/chart" uri="{C3380CC4-5D6E-409C-BE32-E72D297353CC}">
                <c16:uniqueId val="{00000007-670E-4391-B76E-182AE7C4C9F8}"/>
              </c:ext>
            </c:extLst>
          </c:dPt>
          <c:dPt>
            <c:idx val="135"/>
            <c:marker>
              <c:symbol val="none"/>
            </c:marker>
            <c:bubble3D val="0"/>
            <c:spPr>
              <a:ln w="19050" cap="rnd">
                <a:solidFill>
                  <a:srgbClr val="0070C0"/>
                </a:solidFill>
                <a:prstDash val="sysDot"/>
                <a:round/>
              </a:ln>
              <a:effectLst>
                <a:outerShdw blurRad="50800" dist="50800" dir="5400000" algn="ctr" rotWithShape="0">
                  <a:schemeClr val="bg1"/>
                </a:outerShdw>
              </a:effectLst>
            </c:spPr>
            <c:extLst>
              <c:ext xmlns:c16="http://schemas.microsoft.com/office/drawing/2014/chart" uri="{C3380CC4-5D6E-409C-BE32-E72D297353CC}">
                <c16:uniqueId val="{00000008-670E-4391-B76E-182AE7C4C9F8}"/>
              </c:ext>
            </c:extLst>
          </c:dPt>
          <c:dPt>
            <c:idx val="137"/>
            <c:marker>
              <c:symbol val="none"/>
            </c:marker>
            <c:bubble3D val="0"/>
            <c:extLst>
              <c:ext xmlns:c16="http://schemas.microsoft.com/office/drawing/2014/chart" uri="{C3380CC4-5D6E-409C-BE32-E72D297353CC}">
                <c16:uniqueId val="{00000009-670E-4391-B76E-182AE7C4C9F8}"/>
              </c:ext>
            </c:extLst>
          </c:dPt>
          <c:dPt>
            <c:idx val="138"/>
            <c:marker>
              <c:symbol val="none"/>
            </c:marker>
            <c:bubble3D val="0"/>
            <c:extLst>
              <c:ext xmlns:c16="http://schemas.microsoft.com/office/drawing/2014/chart" uri="{C3380CC4-5D6E-409C-BE32-E72D297353CC}">
                <c16:uniqueId val="{0000000A-670E-4391-B76E-182AE7C4C9F8}"/>
              </c:ext>
            </c:extLst>
          </c:dPt>
          <c:dPt>
            <c:idx val="139"/>
            <c:marker>
              <c:symbol val="none"/>
            </c:marker>
            <c:bubble3D val="0"/>
            <c:extLst>
              <c:ext xmlns:c16="http://schemas.microsoft.com/office/drawing/2014/chart" uri="{C3380CC4-5D6E-409C-BE32-E72D297353CC}">
                <c16:uniqueId val="{0000000D-06C2-4AEC-87FE-68A2F0D556CF}"/>
              </c:ext>
            </c:extLst>
          </c:dPt>
          <c:dPt>
            <c:idx val="140"/>
            <c:marker>
              <c:symbol val="triangle"/>
              <c:size val="7"/>
              <c:spPr>
                <a:solidFill>
                  <a:schemeClr val="tx1"/>
                </a:solidFill>
                <a:ln w="9525">
                  <a:solidFill>
                    <a:schemeClr val="tx1"/>
                  </a:solidFill>
                </a:ln>
                <a:effectLst/>
              </c:spPr>
            </c:marker>
            <c:bubble3D val="0"/>
            <c:extLst>
              <c:ext xmlns:c16="http://schemas.microsoft.com/office/drawing/2014/chart" uri="{C3380CC4-5D6E-409C-BE32-E72D297353CC}">
                <c16:uniqueId val="{00000014-97CC-46FA-8BC0-C59FCFDF2CC3}"/>
              </c:ext>
            </c:extLst>
          </c:dPt>
          <c:dPt>
            <c:idx val="142"/>
            <c:marker>
              <c:symbol val="square"/>
              <c:size val="7"/>
              <c:spPr>
                <a:noFill/>
                <a:ln w="9525">
                  <a:noFill/>
                </a:ln>
                <a:effectLst/>
              </c:spPr>
            </c:marker>
            <c:bubble3D val="0"/>
            <c:extLst>
              <c:ext xmlns:c16="http://schemas.microsoft.com/office/drawing/2014/chart" uri="{C3380CC4-5D6E-409C-BE32-E72D297353CC}">
                <c16:uniqueId val="{0000000E-8016-4E96-A4D0-03C78DA476C8}"/>
              </c:ext>
            </c:extLst>
          </c:dPt>
          <c:dPt>
            <c:idx val="143"/>
            <c:marker>
              <c:symbol val="none"/>
            </c:marker>
            <c:bubble3D val="0"/>
            <c:extLst>
              <c:ext xmlns:c16="http://schemas.microsoft.com/office/drawing/2014/chart" uri="{C3380CC4-5D6E-409C-BE32-E72D297353CC}">
                <c16:uniqueId val="{00000010-E7A7-4A7D-B236-CDF4ED6032FB}"/>
              </c:ext>
            </c:extLst>
          </c:dPt>
          <c:dPt>
            <c:idx val="146"/>
            <c:marker>
              <c:symbol val="none"/>
            </c:marker>
            <c:bubble3D val="0"/>
            <c:extLst>
              <c:ext xmlns:c16="http://schemas.microsoft.com/office/drawing/2014/chart" uri="{C3380CC4-5D6E-409C-BE32-E72D297353CC}">
                <c16:uniqueId val="{0000000F-E7A7-4A7D-B236-CDF4ED6032FB}"/>
              </c:ext>
            </c:extLst>
          </c:dPt>
          <c:dPt>
            <c:idx val="150"/>
            <c:marker>
              <c:symbol val="square"/>
              <c:size val="7"/>
              <c:spPr>
                <a:solidFill>
                  <a:schemeClr val="accent1"/>
                </a:solidFill>
                <a:ln w="9525">
                  <a:solidFill>
                    <a:schemeClr val="tx1"/>
                  </a:solidFill>
                </a:ln>
                <a:effectLst/>
              </c:spPr>
            </c:marker>
            <c:bubble3D val="0"/>
            <c:extLst>
              <c:ext xmlns:c16="http://schemas.microsoft.com/office/drawing/2014/chart" uri="{C3380CC4-5D6E-409C-BE32-E72D297353CC}">
                <c16:uniqueId val="{00000014-906F-4FA9-B3A7-B415B12BEC3B}"/>
              </c:ext>
            </c:extLst>
          </c:dPt>
          <c:dLbls>
            <c:dLbl>
              <c:idx val="14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7CC-46FA-8BC0-C59FCFDF2CC3}"/>
                </c:ext>
              </c:extLst>
            </c:dLbl>
            <c:dLbl>
              <c:idx val="15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6F-4FA9-B3A7-B415B12BE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'Exhibit 7.4 - BS Method'!$O$2:$O$150</c:f>
              <c:numCache>
                <c:formatCode>General</c:formatCode>
                <c:ptCount val="149"/>
                <c:pt idx="0">
                  <c:v>1987</c:v>
                </c:pt>
                <c:pt idx="1">
                  <c:v>1987.25</c:v>
                </c:pt>
                <c:pt idx="2">
                  <c:v>1987.5</c:v>
                </c:pt>
                <c:pt idx="3">
                  <c:v>1987.75</c:v>
                </c:pt>
                <c:pt idx="4">
                  <c:v>1988</c:v>
                </c:pt>
                <c:pt idx="5">
                  <c:v>1988.25</c:v>
                </c:pt>
                <c:pt idx="6">
                  <c:v>1988.5</c:v>
                </c:pt>
                <c:pt idx="7">
                  <c:v>1988.75</c:v>
                </c:pt>
                <c:pt idx="8">
                  <c:v>1989</c:v>
                </c:pt>
                <c:pt idx="9">
                  <c:v>1989.25</c:v>
                </c:pt>
                <c:pt idx="10">
                  <c:v>1989.5</c:v>
                </c:pt>
                <c:pt idx="11">
                  <c:v>1989.75</c:v>
                </c:pt>
                <c:pt idx="12">
                  <c:v>1990</c:v>
                </c:pt>
                <c:pt idx="13">
                  <c:v>1990.25</c:v>
                </c:pt>
                <c:pt idx="14">
                  <c:v>1990.5</c:v>
                </c:pt>
                <c:pt idx="15">
                  <c:v>1990.75</c:v>
                </c:pt>
                <c:pt idx="16">
                  <c:v>1991</c:v>
                </c:pt>
                <c:pt idx="17">
                  <c:v>1991.25</c:v>
                </c:pt>
                <c:pt idx="18">
                  <c:v>1991.5</c:v>
                </c:pt>
                <c:pt idx="19">
                  <c:v>1991.75</c:v>
                </c:pt>
                <c:pt idx="20">
                  <c:v>1992</c:v>
                </c:pt>
                <c:pt idx="21">
                  <c:v>1992.25</c:v>
                </c:pt>
                <c:pt idx="22">
                  <c:v>1992.5</c:v>
                </c:pt>
                <c:pt idx="23">
                  <c:v>1992.75</c:v>
                </c:pt>
                <c:pt idx="24">
                  <c:v>1993</c:v>
                </c:pt>
                <c:pt idx="25">
                  <c:v>1993.25</c:v>
                </c:pt>
                <c:pt idx="26">
                  <c:v>1993.5</c:v>
                </c:pt>
                <c:pt idx="27">
                  <c:v>1993.75</c:v>
                </c:pt>
                <c:pt idx="28">
                  <c:v>1994</c:v>
                </c:pt>
                <c:pt idx="29">
                  <c:v>1994.25</c:v>
                </c:pt>
                <c:pt idx="30">
                  <c:v>1994.5</c:v>
                </c:pt>
                <c:pt idx="31">
                  <c:v>1994.75</c:v>
                </c:pt>
                <c:pt idx="32">
                  <c:v>1995</c:v>
                </c:pt>
                <c:pt idx="33">
                  <c:v>1995.25</c:v>
                </c:pt>
                <c:pt idx="34">
                  <c:v>1995.5</c:v>
                </c:pt>
                <c:pt idx="35">
                  <c:v>1995.75</c:v>
                </c:pt>
                <c:pt idx="36">
                  <c:v>1996</c:v>
                </c:pt>
                <c:pt idx="37">
                  <c:v>1996.25</c:v>
                </c:pt>
                <c:pt idx="38">
                  <c:v>1996.5</c:v>
                </c:pt>
                <c:pt idx="39">
                  <c:v>1996.75</c:v>
                </c:pt>
                <c:pt idx="40">
                  <c:v>1997</c:v>
                </c:pt>
                <c:pt idx="41">
                  <c:v>1997.25</c:v>
                </c:pt>
                <c:pt idx="42">
                  <c:v>1997.5</c:v>
                </c:pt>
                <c:pt idx="43">
                  <c:v>1997.75</c:v>
                </c:pt>
                <c:pt idx="44">
                  <c:v>1998</c:v>
                </c:pt>
                <c:pt idx="45">
                  <c:v>1998.25</c:v>
                </c:pt>
                <c:pt idx="46">
                  <c:v>1998.5</c:v>
                </c:pt>
                <c:pt idx="47">
                  <c:v>1998.75</c:v>
                </c:pt>
                <c:pt idx="48">
                  <c:v>1999</c:v>
                </c:pt>
                <c:pt idx="49">
                  <c:v>1999.25</c:v>
                </c:pt>
                <c:pt idx="50">
                  <c:v>1999.5</c:v>
                </c:pt>
                <c:pt idx="51">
                  <c:v>1999.75</c:v>
                </c:pt>
                <c:pt idx="52">
                  <c:v>2000</c:v>
                </c:pt>
                <c:pt idx="53">
                  <c:v>2000.25</c:v>
                </c:pt>
                <c:pt idx="54">
                  <c:v>2000.5</c:v>
                </c:pt>
                <c:pt idx="55">
                  <c:v>2000.75</c:v>
                </c:pt>
                <c:pt idx="56">
                  <c:v>2001</c:v>
                </c:pt>
                <c:pt idx="57">
                  <c:v>2001.25</c:v>
                </c:pt>
                <c:pt idx="58">
                  <c:v>2001.5</c:v>
                </c:pt>
                <c:pt idx="59">
                  <c:v>2001.75</c:v>
                </c:pt>
                <c:pt idx="60">
                  <c:v>2002</c:v>
                </c:pt>
                <c:pt idx="61">
                  <c:v>2002.25</c:v>
                </c:pt>
                <c:pt idx="62">
                  <c:v>2002.5</c:v>
                </c:pt>
                <c:pt idx="63">
                  <c:v>2002.75</c:v>
                </c:pt>
                <c:pt idx="64">
                  <c:v>2003</c:v>
                </c:pt>
                <c:pt idx="65">
                  <c:v>2003.25</c:v>
                </c:pt>
                <c:pt idx="66">
                  <c:v>2003.5</c:v>
                </c:pt>
                <c:pt idx="67">
                  <c:v>2003.75</c:v>
                </c:pt>
                <c:pt idx="68">
                  <c:v>2004</c:v>
                </c:pt>
                <c:pt idx="69">
                  <c:v>2004.25</c:v>
                </c:pt>
                <c:pt idx="70">
                  <c:v>2004.5</c:v>
                </c:pt>
                <c:pt idx="71">
                  <c:v>2004.75</c:v>
                </c:pt>
                <c:pt idx="72">
                  <c:v>2005</c:v>
                </c:pt>
                <c:pt idx="73">
                  <c:v>2005.25</c:v>
                </c:pt>
                <c:pt idx="74">
                  <c:v>2005.5</c:v>
                </c:pt>
                <c:pt idx="75">
                  <c:v>2005.75</c:v>
                </c:pt>
                <c:pt idx="76">
                  <c:v>2006</c:v>
                </c:pt>
                <c:pt idx="77">
                  <c:v>2006.25</c:v>
                </c:pt>
                <c:pt idx="78">
                  <c:v>2006.5</c:v>
                </c:pt>
                <c:pt idx="79">
                  <c:v>2006.75</c:v>
                </c:pt>
                <c:pt idx="80">
                  <c:v>2007</c:v>
                </c:pt>
                <c:pt idx="81">
                  <c:v>2007.25</c:v>
                </c:pt>
                <c:pt idx="82">
                  <c:v>2007.5</c:v>
                </c:pt>
                <c:pt idx="83">
                  <c:v>2007.75</c:v>
                </c:pt>
                <c:pt idx="84">
                  <c:v>2008</c:v>
                </c:pt>
                <c:pt idx="85">
                  <c:v>2008.25</c:v>
                </c:pt>
                <c:pt idx="86">
                  <c:v>2008.5</c:v>
                </c:pt>
                <c:pt idx="87">
                  <c:v>2008.75</c:v>
                </c:pt>
                <c:pt idx="88">
                  <c:v>2009</c:v>
                </c:pt>
                <c:pt idx="89">
                  <c:v>2009.25</c:v>
                </c:pt>
                <c:pt idx="90">
                  <c:v>2009.5</c:v>
                </c:pt>
                <c:pt idx="91">
                  <c:v>2009.75</c:v>
                </c:pt>
                <c:pt idx="92">
                  <c:v>2010</c:v>
                </c:pt>
                <c:pt idx="96">
                  <c:v>2011</c:v>
                </c:pt>
                <c:pt idx="97">
                  <c:v>2011.25</c:v>
                </c:pt>
                <c:pt idx="98">
                  <c:v>2011.5</c:v>
                </c:pt>
                <c:pt idx="99">
                  <c:v>2011.75</c:v>
                </c:pt>
                <c:pt idx="100">
                  <c:v>2012</c:v>
                </c:pt>
                <c:pt idx="101">
                  <c:v>2012.25</c:v>
                </c:pt>
                <c:pt idx="102">
                  <c:v>2012.5</c:v>
                </c:pt>
                <c:pt idx="103">
                  <c:v>2012.75</c:v>
                </c:pt>
                <c:pt idx="104">
                  <c:v>2013</c:v>
                </c:pt>
                <c:pt idx="105">
                  <c:v>2013.25</c:v>
                </c:pt>
                <c:pt idx="106">
                  <c:v>2013.5</c:v>
                </c:pt>
                <c:pt idx="107">
                  <c:v>2013.75</c:v>
                </c:pt>
                <c:pt idx="108">
                  <c:v>2014</c:v>
                </c:pt>
                <c:pt idx="109">
                  <c:v>2014.25</c:v>
                </c:pt>
                <c:pt idx="110">
                  <c:v>2014.5</c:v>
                </c:pt>
                <c:pt idx="111">
                  <c:v>2014.75</c:v>
                </c:pt>
                <c:pt idx="112">
                  <c:v>2015</c:v>
                </c:pt>
                <c:pt idx="113">
                  <c:v>2015.25</c:v>
                </c:pt>
                <c:pt idx="114">
                  <c:v>2015.5</c:v>
                </c:pt>
                <c:pt idx="115">
                  <c:v>2015.75</c:v>
                </c:pt>
                <c:pt idx="116">
                  <c:v>2016</c:v>
                </c:pt>
                <c:pt idx="117">
                  <c:v>2016.25</c:v>
                </c:pt>
                <c:pt idx="118">
                  <c:v>2016.5</c:v>
                </c:pt>
                <c:pt idx="119">
                  <c:v>2016.75</c:v>
                </c:pt>
                <c:pt idx="120">
                  <c:v>2017</c:v>
                </c:pt>
                <c:pt idx="121">
                  <c:v>2017.25</c:v>
                </c:pt>
                <c:pt idx="122">
                  <c:v>2017.5</c:v>
                </c:pt>
                <c:pt idx="123">
                  <c:v>2017.75</c:v>
                </c:pt>
                <c:pt idx="124">
                  <c:v>2018</c:v>
                </c:pt>
                <c:pt idx="125">
                  <c:v>2018.25</c:v>
                </c:pt>
                <c:pt idx="126">
                  <c:v>2018.5</c:v>
                </c:pt>
                <c:pt idx="127">
                  <c:v>2018.75</c:v>
                </c:pt>
                <c:pt idx="128">
                  <c:v>2019</c:v>
                </c:pt>
                <c:pt idx="129">
                  <c:v>2019.25</c:v>
                </c:pt>
                <c:pt idx="130">
                  <c:v>2019.5</c:v>
                </c:pt>
                <c:pt idx="131">
                  <c:v>2019.75</c:v>
                </c:pt>
                <c:pt idx="132">
                  <c:v>2020</c:v>
                </c:pt>
                <c:pt idx="133">
                  <c:v>2020.25</c:v>
                </c:pt>
                <c:pt idx="134">
                  <c:v>2020.5</c:v>
                </c:pt>
                <c:pt idx="135">
                  <c:v>2020.75</c:v>
                </c:pt>
                <c:pt idx="136">
                  <c:v>2021</c:v>
                </c:pt>
                <c:pt idx="137">
                  <c:v>2021.25</c:v>
                </c:pt>
                <c:pt idx="138">
                  <c:v>2021.5</c:v>
                </c:pt>
                <c:pt idx="139">
                  <c:v>2021.75</c:v>
                </c:pt>
                <c:pt idx="140">
                  <c:v>2022</c:v>
                </c:pt>
                <c:pt idx="141">
                  <c:v>2022.25</c:v>
                </c:pt>
                <c:pt idx="142">
                  <c:v>2022.5</c:v>
                </c:pt>
                <c:pt idx="143">
                  <c:v>2022.75</c:v>
                </c:pt>
                <c:pt idx="144">
                  <c:v>2023</c:v>
                </c:pt>
                <c:pt idx="145">
                  <c:v>2023.25</c:v>
                </c:pt>
                <c:pt idx="146">
                  <c:v>2023.5</c:v>
                </c:pt>
                <c:pt idx="147">
                  <c:v>2023.75</c:v>
                </c:pt>
                <c:pt idx="148">
                  <c:v>2024</c:v>
                </c:pt>
              </c:numCache>
            </c:numRef>
          </c:cat>
          <c:val>
            <c:numRef>
              <c:f>'Exhibit 7.4 - BS Method'!$Q$2:$Q$152</c:f>
              <c:numCache>
                <c:formatCode>General</c:formatCode>
                <c:ptCount val="151"/>
                <c:pt idx="140" formatCode="0.000">
                  <c:v>0.36542739198707874</c:v>
                </c:pt>
                <c:pt idx="141" formatCode="0.000">
                  <c:v>0.37087795783797062</c:v>
                </c:pt>
                <c:pt idx="142" formatCode="0.000">
                  <c:v>0.37632852368886249</c:v>
                </c:pt>
                <c:pt idx="143" formatCode="0.000">
                  <c:v>0.38177908953975431</c:v>
                </c:pt>
                <c:pt idx="144" formatCode="0.000">
                  <c:v>0.38722965539064619</c:v>
                </c:pt>
                <c:pt idx="145" formatCode="0.000">
                  <c:v>0.38703751104914536</c:v>
                </c:pt>
                <c:pt idx="146" formatCode="0.000">
                  <c:v>0.38684536670764458</c:v>
                </c:pt>
                <c:pt idx="147" formatCode="0.000">
                  <c:v>0.38665322236614375</c:v>
                </c:pt>
                <c:pt idx="148" formatCode="0.000">
                  <c:v>0.38646107802464291</c:v>
                </c:pt>
                <c:pt idx="149" formatCode="0.000">
                  <c:v>0.38655434319612414</c:v>
                </c:pt>
                <c:pt idx="150" formatCode="0.000">
                  <c:v>0.38664760836760531</c:v>
                </c:pt>
              </c:numCache>
            </c:numRef>
          </c:val>
          <c:smooth val="0"/>
          <c:extLst>
            <c:ext xmlns:c16="http://schemas.microsoft.com/office/drawing/2014/chart" uri="{C3380CC4-5D6E-409C-BE32-E72D297353CC}">
              <c16:uniqueId val="{0000000B-670E-4391-B76E-182AE7C4C9F8}"/>
            </c:ext>
          </c:extLst>
        </c:ser>
        <c:dLbls>
          <c:showLegendKey val="0"/>
          <c:showVal val="0"/>
          <c:showCatName val="0"/>
          <c:showSerName val="0"/>
          <c:showPercent val="0"/>
          <c:showBubbleSize val="0"/>
        </c:dLbls>
        <c:smooth val="0"/>
        <c:axId val="765317600"/>
        <c:axId val="765325440"/>
      </c:lineChart>
      <c:catAx>
        <c:axId val="765317600"/>
        <c:scaling>
          <c:orientation val="minMax"/>
        </c:scaling>
        <c:delete val="0"/>
        <c:axPos val="b"/>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25440"/>
        <c:crosses val="autoZero"/>
        <c:auto val="1"/>
        <c:lblAlgn val="ctr"/>
        <c:lblOffset val="100"/>
        <c:tickMarkSkip val="1"/>
        <c:noMultiLvlLbl val="0"/>
      </c:catAx>
      <c:valAx>
        <c:axId val="765325440"/>
        <c:scaling>
          <c:orientation val="minMax"/>
          <c:max val="0.5"/>
          <c:min val="0.1"/>
        </c:scaling>
        <c:delete val="0"/>
        <c:axPos val="l"/>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5317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304799</xdr:colOff>
      <xdr:row>3</xdr:row>
      <xdr:rowOff>9524</xdr:rowOff>
    </xdr:from>
    <xdr:to>
      <xdr:col>10</xdr:col>
      <xdr:colOff>413845</xdr:colOff>
      <xdr:row>34</xdr:row>
      <xdr:rowOff>0</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255950</xdr:colOff>
      <xdr:row>29</xdr:row>
      <xdr:rowOff>129599</xdr:rowOff>
    </xdr:from>
    <xdr:to>
      <xdr:col>10</xdr:col>
      <xdr:colOff>490267</xdr:colOff>
      <xdr:row>33</xdr:row>
      <xdr:rowOff>86359</xdr:rowOff>
    </xdr:to>
    <xdr:sp macro="" textlink="PPY">
      <xdr:nvSpPr>
        <xdr:cNvPr id="3" name="TextBox 2">
          <a:extLst>
            <a:ext uri="{FF2B5EF4-FFF2-40B4-BE49-F238E27FC236}">
              <a16:creationId xmlns:a16="http://schemas.microsoft.com/office/drawing/2014/main" id="{00000000-0008-0000-1D00-000003000000}"/>
            </a:ext>
          </a:extLst>
        </xdr:cNvPr>
        <xdr:cNvSpPr txBox="1"/>
      </xdr:nvSpPr>
      <xdr:spPr>
        <a:xfrm rot="16200000">
          <a:off x="6175419" y="5134320"/>
          <a:ext cx="613656" cy="234317"/>
        </a:xfrm>
        <a:prstGeom prst="rect">
          <a:avLst/>
        </a:prstGeom>
        <a:noFill/>
        <a:ln w="9525"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2ADAD23C-7F61-4D31-BE08-4CCBD23A946A}" type="TxLink">
            <a:rPr lang="en-US" sz="1000" b="0" i="0" u="none" strike="noStrike">
              <a:solidFill>
                <a:schemeClr val="tx1">
                  <a:lumMod val="65000"/>
                  <a:lumOff val="35000"/>
                </a:schemeClr>
              </a:solidFill>
              <a:latin typeface="Arial"/>
              <a:cs typeface="Arial"/>
            </a:rPr>
            <a:pPr algn="r"/>
            <a:t>9/1/2024</a:t>
          </a:fld>
          <a:endParaRPr lang="en-US" sz="10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82365</xdr:colOff>
      <xdr:row>4</xdr:row>
      <xdr:rowOff>28575</xdr:rowOff>
    </xdr:from>
    <xdr:to>
      <xdr:col>0</xdr:col>
      <xdr:colOff>304801</xdr:colOff>
      <xdr:row>30</xdr:row>
      <xdr:rowOff>3</xdr:rowOff>
    </xdr:to>
    <xdr:sp macro="" textlink="">
      <xdr:nvSpPr>
        <xdr:cNvPr id="4" name="TextBox 3">
          <a:extLst>
            <a:ext uri="{FF2B5EF4-FFF2-40B4-BE49-F238E27FC236}">
              <a16:creationId xmlns:a16="http://schemas.microsoft.com/office/drawing/2014/main" id="{00000000-0008-0000-1D00-000004000000}"/>
            </a:ext>
          </a:extLst>
        </xdr:cNvPr>
        <xdr:cNvSpPr txBox="1"/>
      </xdr:nvSpPr>
      <xdr:spPr>
        <a:xfrm rot="16200000">
          <a:off x="-1971451" y="2768191"/>
          <a:ext cx="4330068" cy="222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Arial" panose="020B0604020202020204" pitchFamily="34" charset="0"/>
              <a:cs typeface="Arial" panose="020B0604020202020204" pitchFamily="34" charset="0"/>
            </a:rPr>
            <a:t>On-level</a:t>
          </a:r>
          <a:r>
            <a:rPr lang="en-US" sz="1000" baseline="0">
              <a:latin typeface="Arial" panose="020B0604020202020204" pitchFamily="34" charset="0"/>
              <a:cs typeface="Arial" panose="020B0604020202020204" pitchFamily="34" charset="0"/>
            </a:rPr>
            <a:t> Indemnity to Pure Premium Ratio</a:t>
          </a:r>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304799</xdr:colOff>
      <xdr:row>3</xdr:row>
      <xdr:rowOff>9524</xdr:rowOff>
    </xdr:from>
    <xdr:to>
      <xdr:col>10</xdr:col>
      <xdr:colOff>425824</xdr:colOff>
      <xdr:row>34</xdr:row>
      <xdr:rowOff>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250091</xdr:colOff>
      <xdr:row>29</xdr:row>
      <xdr:rowOff>116081</xdr:rowOff>
    </xdr:from>
    <xdr:to>
      <xdr:col>10</xdr:col>
      <xdr:colOff>446309</xdr:colOff>
      <xdr:row>33</xdr:row>
      <xdr:rowOff>60139</xdr:rowOff>
    </xdr:to>
    <xdr:sp macro="" textlink="PPY">
      <xdr:nvSpPr>
        <xdr:cNvPr id="3" name="TextBox 2">
          <a:extLst>
            <a:ext uri="{FF2B5EF4-FFF2-40B4-BE49-F238E27FC236}">
              <a16:creationId xmlns:a16="http://schemas.microsoft.com/office/drawing/2014/main" id="{00000000-0008-0000-1F00-000003000000}"/>
            </a:ext>
          </a:extLst>
        </xdr:cNvPr>
        <xdr:cNvSpPr txBox="1"/>
      </xdr:nvSpPr>
      <xdr:spPr>
        <a:xfrm rot="16200000">
          <a:off x="6135132" y="5045578"/>
          <a:ext cx="588828" cy="196218"/>
        </a:xfrm>
        <a:prstGeom prst="rect">
          <a:avLst/>
        </a:prstGeom>
        <a:noFill/>
        <a:ln w="9525" cmpd="sng">
          <a:noFill/>
        </a:ln>
        <a:effectLst>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81DFD75B-BB91-4ABB-9700-B2DF63341322}" type="TxLink">
            <a:rPr lang="en-US" sz="1000" b="0" i="0" u="none" strike="noStrike">
              <a:solidFill>
                <a:schemeClr val="tx1">
                  <a:lumMod val="65000"/>
                  <a:lumOff val="35000"/>
                </a:schemeClr>
              </a:solidFill>
              <a:latin typeface="Arial"/>
              <a:cs typeface="Arial"/>
            </a:rPr>
            <a:pPr algn="r"/>
            <a:t>9/1/2024</a:t>
          </a:fld>
          <a:endParaRPr lang="en-US" sz="10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133350</xdr:colOff>
      <xdr:row>4</xdr:row>
      <xdr:rowOff>76200</xdr:rowOff>
    </xdr:from>
    <xdr:to>
      <xdr:col>0</xdr:col>
      <xdr:colOff>355786</xdr:colOff>
      <xdr:row>30</xdr:row>
      <xdr:rowOff>47628</xdr:rowOff>
    </xdr:to>
    <xdr:sp macro="" textlink="">
      <xdr:nvSpPr>
        <xdr:cNvPr id="4" name="TextBox 3">
          <a:extLst>
            <a:ext uri="{FF2B5EF4-FFF2-40B4-BE49-F238E27FC236}">
              <a16:creationId xmlns:a16="http://schemas.microsoft.com/office/drawing/2014/main" id="{00000000-0008-0000-1F00-000004000000}"/>
            </a:ext>
          </a:extLst>
        </xdr:cNvPr>
        <xdr:cNvSpPr txBox="1"/>
      </xdr:nvSpPr>
      <xdr:spPr>
        <a:xfrm rot="16200000">
          <a:off x="-1920466" y="2815816"/>
          <a:ext cx="4330068" cy="222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latin typeface="Arial" panose="020B0604020202020204" pitchFamily="34" charset="0"/>
              <a:cs typeface="Arial" panose="020B0604020202020204" pitchFamily="34" charset="0"/>
            </a:rPr>
            <a:t>On-level</a:t>
          </a:r>
          <a:r>
            <a:rPr lang="en-US" sz="1000" baseline="0">
              <a:latin typeface="Arial" panose="020B0604020202020204" pitchFamily="34" charset="0"/>
              <a:cs typeface="Arial" panose="020B0604020202020204" pitchFamily="34" charset="0"/>
            </a:rPr>
            <a:t> Medical to Pure Premium Ratio</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19</xdr:row>
      <xdr:rowOff>0</xdr:rowOff>
    </xdr:from>
    <xdr:to>
      <xdr:col>14</xdr:col>
      <xdr:colOff>333375</xdr:colOff>
      <xdr:row>19</xdr:row>
      <xdr:rowOff>0</xdr:rowOff>
    </xdr:to>
    <xdr:sp macro="" textlink="">
      <xdr:nvSpPr>
        <xdr:cNvPr id="4" name="Text Box 14">
          <a:extLst>
            <a:ext uri="{FF2B5EF4-FFF2-40B4-BE49-F238E27FC236}">
              <a16:creationId xmlns:a16="http://schemas.microsoft.com/office/drawing/2014/main" id="{00000000-0008-0000-2000-000004000000}"/>
            </a:ext>
          </a:extLst>
        </xdr:cNvPr>
        <xdr:cNvSpPr txBox="1">
          <a:spLocks noChangeArrowheads="1"/>
        </xdr:cNvSpPr>
      </xdr:nvSpPr>
      <xdr:spPr bwMode="auto">
        <a:xfrm>
          <a:off x="6124575" y="375285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1000R/June19/9-3-2019%20Agenda/Loss%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Loss%20Analysis\2017%202Q\Working%20Version%20-%20for%209-5-17%20Agenda\CW\Exhibits%201-8%20and%20Alt%20Methods%20Quarterly%20Loss%20Analysis%20-%209-5-2017%20Agen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tuarial\Public\Shared\CWong%20Shared%20Files\Project%20Challenge%20Accepted\Main%20Spread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tuarial\Public\AC1000R\Dec21\9-1-22%20Filing\Hardcoded%20Excel%20Version\Exhibits_1-8_9-1-2022_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lusions"/>
      <sheetName val="All Source Data"/>
      <sheetName val="Source Data for Med Rfm Adj"/>
      <sheetName val="Market Share"/>
      <sheetName val="Historical Data-Freeze"/>
      <sheetName val="Exhibit 1"/>
      <sheetName val="Exhibit 2.1 Data"/>
      <sheetName val="Exhibit 2.1"/>
      <sheetName val="Exhibit 2.2 Data"/>
      <sheetName val="Exhibit 2.2"/>
      <sheetName val="Exhibit 2.3 Data"/>
      <sheetName val="Exhibit 2.3"/>
      <sheetName val="Exhibit 2.4 Data"/>
      <sheetName val="Exhibit 2.4 Pharm Adj"/>
      <sheetName val="SB1160 Lien Adj"/>
      <sheetName val="Exhibit 2.4"/>
      <sheetName val="Exh2.5 Agenda_Regular Method"/>
      <sheetName val="Exh2.5 Agenda_BS Method"/>
      <sheetName val="Exh2.6 Agenda_Regular Method"/>
      <sheetName val="Exh2.6 Agenda - BS"/>
      <sheetName val="Exhibit 3"/>
      <sheetName val="Exhibit 4.1"/>
      <sheetName val="Exhibit 4.2"/>
      <sheetName val="Chg in Med CPI for Exh 4.2"/>
      <sheetName val="Exhibit 4.3"/>
      <sheetName val="Exhibit 4.4"/>
      <sheetName val="Exhibit 5.1"/>
      <sheetName val="Exhibit 5.2"/>
      <sheetName val="Exh 5.2_Prem Earned Out"/>
      <sheetName val="Exhibit 6.1"/>
      <sheetName val="Exhibit 6.2"/>
      <sheetName val="Exhibit 6.3"/>
      <sheetName val="Exhibit 6.3_Inc MCCP"/>
      <sheetName val="Exh6.3_MO LDF"/>
      <sheetName val="Exhibit 6.4 Data"/>
      <sheetName val="Exhibit 6.4"/>
      <sheetName val="Exhibit 7.1"/>
      <sheetName val="Exhibit 7.2"/>
      <sheetName val="Exhibit 7.3"/>
      <sheetName val="Exhibit 7.4"/>
      <sheetName val="Exhibit 8"/>
      <sheetName val="Exhibit 9"/>
      <sheetName val="Exhibit 10"/>
      <sheetName val="Exhibit 11.1-11.2"/>
      <sheetName val="Exhibit 11.3"/>
      <sheetName val="Pivot-All Insurers"/>
      <sheetName val="For Slides"/>
    </sheetNames>
    <sheetDataSet>
      <sheetData sheetId="0"/>
      <sheetData sheetId="1"/>
      <sheetData sheetId="2"/>
      <sheetData sheetId="3">
        <row r="1">
          <cell r="E1">
            <v>2016</v>
          </cell>
        </row>
      </sheetData>
      <sheetData sheetId="4"/>
      <sheetData sheetId="5">
        <row r="2">
          <cell r="E2">
            <v>2019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1 Agenda"/>
      <sheetName val="Exh2_1"/>
      <sheetName val="Exh2.1 Agenda"/>
      <sheetName val="Exh2_2"/>
      <sheetName val="Exh2.2 Agenda"/>
      <sheetName val="Exh2_3_x SB863"/>
      <sheetName val="Exh2_3_Selected"/>
      <sheetName val="Exh2.3 Agenda"/>
      <sheetName val="Exh2_4"/>
      <sheetName val="Exh2_4_Selected"/>
      <sheetName val="Ex 2.4 Data"/>
      <sheetName val="Exh2.4 Agenda"/>
      <sheetName val="Exh2.5 Agenda"/>
      <sheetName val="Exh2.6 Agenda"/>
      <sheetName val="Exh2.5 Agenda - BS"/>
      <sheetName val="Exh2.6 Agenda - BS"/>
      <sheetName val="Exh3.1 Paid BS Latest Yr Agenda"/>
      <sheetName val="Exh3.2 Paid BS Latest Yr Agenda"/>
      <sheetName val="OAG Factors"/>
      <sheetName val="Exh4_1(without PDRS)"/>
      <sheetName val="Exh3.2 Agenda"/>
      <sheetName val="Exh4.1 Agenda"/>
      <sheetName val="Exh_4_1_No_Freq_&amp;_Ref_Impact"/>
      <sheetName val="Exh4.2_full impact Reforms"/>
      <sheetName val="Exh4.2 Agenda"/>
      <sheetName val="Exh_4.4 No_Freq_Impact Proj"/>
      <sheetName val="Restructure Exh_4_Medical"/>
      <sheetName val="Exh4.3 Agenda"/>
      <sheetName val="Exh_4.4 full impact Reforms"/>
      <sheetName val="Exh4.4 Agenda"/>
      <sheetName val="Exh_4.4 No_Freq_Impact"/>
      <sheetName val="Exh_4.4_wth SB863_Sev_Only"/>
      <sheetName val="Exh_4.3 wth SB863 Severity Only"/>
      <sheetName val="Exh_4.4 wth SB863 Severity Only"/>
      <sheetName val="Medical Legal 7_16_1993"/>
      <sheetName val="IHFS"/>
      <sheetName val="Exh5.1 Agenda"/>
      <sheetName val="Exh5.2_for_1-1-13_Filing_x_wage"/>
      <sheetName val="Exh5.2 - Unadj for Indust Avg"/>
      <sheetName val="Exh5.2_Adj for Industry Avg"/>
      <sheetName val="Exh_7.1_Paid_BS_Latest_Yr"/>
      <sheetName val="Exhibit 7.2 - BS Method"/>
      <sheetName val="Exh_7.3_Paid_BS__Latest_Yr"/>
      <sheetName val="Exhibit 7.4 - BS Method"/>
      <sheetName val="Exh8 Agenda"/>
      <sheetName val="Exh3.1 Agenda"/>
      <sheetName val="Summary_of_Alts"/>
      <sheetName val="Exh3Incurred3YrAve"/>
      <sheetName val="Exh7.1_ Incurred3YrAve"/>
      <sheetName val="Exh7.3_ Incurred3YrAve"/>
      <sheetName val="Exh7.3_ Incrd3YrAve-For Mark "/>
      <sheetName val="Exh3IncurredLatestYear"/>
      <sheetName val="Exh7.1_IncurredLatYr"/>
      <sheetName val="Exh7.3_ IncurredLatYr"/>
      <sheetName val="Exh7.3_ IncredLatYr-For Mark"/>
      <sheetName val="Exh3IncurredLatestYearReformAdj"/>
      <sheetName val="Exh7.1_IncurredLatYrReformAdj"/>
      <sheetName val="Exh7.3_ IncurredLatYrReformAdj"/>
      <sheetName val="Exh3_Incurred_BS_Method"/>
      <sheetName val="Exh7.1_Incurred_BS_Ind"/>
      <sheetName val="Exh7.3_Incurred_BS_Med"/>
      <sheetName val="Exh3_Inc_BS_Method-3yr Avg"/>
      <sheetName val="Exh7.1_Incurred_BS_Ind-3yr Avg"/>
      <sheetName val="Exh7.3_Incurred_BS_Med-3yr Avg"/>
      <sheetName val="Exh3_UnadjPaid_3YrAve"/>
      <sheetName val="Exh7.1_ UnadjPaid_3YrAve"/>
      <sheetName val="Exh7.3_ Unadj_Paid_3YrAve"/>
      <sheetName val="Exh3_Unadj_Paid_Latest_Year"/>
      <sheetName val="Exh7.1_Unadj_Paid_Latest_Year"/>
      <sheetName val="Exh7.3_Unadj_Paid_Latest_Year"/>
      <sheetName val="Exh3_Paid_Latest_Year_375"/>
      <sheetName val="Exh7.1_Paid_Latest_Year_375"/>
      <sheetName val="Exh7.3_Paid_Latest_Year_375"/>
      <sheetName val="Exh3_Latest Yr Pd Reform Adj"/>
      <sheetName val="Exh7.1_Latest Yr Pd Reform Adj"/>
      <sheetName val="Exh7.3_Latest Yr Pd Reform Adj"/>
      <sheetName val="Exh3_Paid_BS_3-Yr Avg"/>
      <sheetName val="Exh_7.1_Paid_BS_3-Yr Avg"/>
      <sheetName val="Exh_7.3_Paid_BS_3-Yr Avg"/>
      <sheetName val="Exh3_Paid_BS_Latest_Year"/>
      <sheetName val="Exh_7.1_Trend_Latest_Year"/>
      <sheetName val="Exh_7.3_Trend_Latest_Year"/>
      <sheetName val="Exh_7.1_Trend_Ind Avg Severity"/>
      <sheetName val="Exh_7.3_Trend_Med Avg Severity"/>
      <sheetName val="Post_05_LR Trend_Exh_7.1"/>
      <sheetName val="Post_05_LR Trend_Exh_7.3"/>
      <sheetName val="5Yr_LR Trend_Exh_7.1"/>
      <sheetName val="5Yr_LR Trend_Exh_7.3"/>
      <sheetName val="5Yr_LR Fitted Trend_Exh_7.1"/>
      <sheetName val="5Yr_LR Fitted Trend_Exh_7.3"/>
      <sheetName val="Exh2_3_SB863_BS_Method_Avg"/>
      <sheetName val="Exh3_Selected_w Ult351Inc Tail"/>
      <sheetName val="Exh_7.1_Select_w_Ult351Inc Tail"/>
      <sheetName val="Exh_7.3_Select_w_Ult351Inc_Tail"/>
      <sheetName val="Exh3_Reforms_SB863_RBRVS_Only"/>
      <sheetName val="Exh_7.1_Reforms_SB863_RBRVS_Onl"/>
      <sheetName val="Exh_7.3_Reforms_SB863_RBRVS_Onl"/>
      <sheetName val="Exh7.1_Paid_BF_to_27_CL_to_Ult"/>
      <sheetName val="Exh7.3_Paid_BF_to_27_CL_to_Ult"/>
      <sheetName val="Exh2_3_BS_x_Reforms "/>
      <sheetName val="Exh2_4_BS_x_Reforms"/>
      <sheetName val="Exh3_Paid_BS_x_Reforms"/>
      <sheetName val="Exh_7.1_Paid_BS_x_Reforms"/>
      <sheetName val="Exh_7.1_SB863+Post10LR Trend"/>
      <sheetName val="Exh_7.3_SB863+Post10LR Trend"/>
      <sheetName val="Post_08_Sev_Trend_Exh_7.1 "/>
      <sheetName val="Post_08_Sev_Trend_Exh_7.3 "/>
      <sheetName val="Exh_4.4 SB863 + 2.5%MoreSB863"/>
      <sheetName val="Exh_7.3_Trend_+ 2.5% xtra SB863"/>
      <sheetName val="Post_08_Sev_Trend_Exh_7.1"/>
      <sheetName val="Post_08_Sev_Trend_Exh_7.3"/>
      <sheetName val="Exh7.1_Avg Exp_&amp;_FullConst_Trd"/>
      <sheetName val="Exh7.3_Avg Exp_&amp;_FullConst_Trd"/>
      <sheetName val="Exh_7.1_Mod_Freq_notempconst"/>
      <sheetName val="Exh_7.3_Mod_Freq_notempconst"/>
      <sheetName val="Exh_7.1_Avg_Trd1_&amp;_Trd3"/>
      <sheetName val="Exh_7.3_Avg_Trd1_&amp;_Trd3"/>
      <sheetName val="Exh_4.4 with SB863 CDI Method"/>
      <sheetName val="Exh_7.3_CDI_Trend"/>
      <sheetName val="Exh3 Pd 3 yr-ave (Unadj)"/>
      <sheetName val="Exh7.1_Pd 3YrAvg"/>
      <sheetName val="Exh3Pd_LatestYr_Unadj"/>
      <sheetName val="Exh7.1Pd_LatestYr_Unadj"/>
      <sheetName val="Post_04_Trend_no_wage_Exh_7.1"/>
      <sheetName val="Post_04_Trend_no_wage_Exh_7.3"/>
      <sheetName val="ExpTrend2_4(1)"/>
    </sheetNames>
    <sheetDataSet>
      <sheetData sheetId="0"/>
      <sheetData sheetId="1"/>
      <sheetData sheetId="2">
        <row r="43">
          <cell r="I43">
            <v>1.004</v>
          </cell>
        </row>
      </sheetData>
      <sheetData sheetId="3"/>
      <sheetData sheetId="4">
        <row r="42">
          <cell r="I42">
            <v>1.0309999999999999</v>
          </cell>
        </row>
      </sheetData>
      <sheetData sheetId="5"/>
      <sheetData sheetId="6"/>
      <sheetData sheetId="7">
        <row r="6">
          <cell r="AJ6">
            <v>2017</v>
          </cell>
          <cell r="AL6" t="str">
            <v>Pd 18/6</v>
          </cell>
          <cell r="AM6">
            <v>9.9090000000000007</v>
          </cell>
          <cell r="AN6" t="str">
            <v>Ult/8/6Pd</v>
          </cell>
          <cell r="AO6">
            <v>50.373749493460302</v>
          </cell>
          <cell r="AP6">
            <v>53.385092238179361</v>
          </cell>
        </row>
        <row r="7">
          <cell r="AJ7">
            <v>2016</v>
          </cell>
          <cell r="AK7">
            <v>0</v>
          </cell>
          <cell r="AL7" t="str">
            <v>Pd 30/18</v>
          </cell>
          <cell r="AM7">
            <v>2.056</v>
          </cell>
          <cell r="AN7" t="str">
            <v>Ult//18Pd</v>
          </cell>
          <cell r="AO7">
            <v>5.0836360372853262</v>
          </cell>
          <cell r="AP7">
            <v>5.3875357995942421</v>
          </cell>
        </row>
        <row r="8">
          <cell r="AJ8">
            <v>2015</v>
          </cell>
          <cell r="AK8">
            <v>0</v>
          </cell>
          <cell r="AL8" t="str">
            <v>Pd 42/30</v>
          </cell>
          <cell r="AM8">
            <v>1.3959999999999999</v>
          </cell>
          <cell r="AN8" t="str">
            <v>Ult//30Pd</v>
          </cell>
          <cell r="AO8">
            <v>2.4725856212477266</v>
          </cell>
          <cell r="AP8">
            <v>2.6203967896859153</v>
          </cell>
        </row>
        <row r="9">
          <cell r="AJ9">
            <v>2014</v>
          </cell>
          <cell r="AK9">
            <v>0</v>
          </cell>
          <cell r="AL9" t="str">
            <v>Pd 54/42</v>
          </cell>
          <cell r="AM9">
            <v>1.1819999999999999</v>
          </cell>
          <cell r="AN9" t="str">
            <v>Ult//42Pd</v>
          </cell>
          <cell r="AO9">
            <v>1.7711931384296038</v>
          </cell>
          <cell r="AP9">
            <v>1.8770750642449254</v>
          </cell>
        </row>
        <row r="10">
          <cell r="AJ10">
            <v>2013</v>
          </cell>
          <cell r="AK10">
            <v>0</v>
          </cell>
          <cell r="AL10" t="str">
            <v>Pd 66/54</v>
          </cell>
          <cell r="AM10">
            <v>1.1080000000000001</v>
          </cell>
          <cell r="AN10" t="str">
            <v>Ult//54Pd</v>
          </cell>
          <cell r="AO10">
            <v>1.4984713523093096</v>
          </cell>
          <cell r="AP10">
            <v>1.5284407793554959</v>
          </cell>
        </row>
        <row r="11">
          <cell r="AJ11">
            <v>2012</v>
          </cell>
          <cell r="AK11">
            <v>0</v>
          </cell>
          <cell r="AL11" t="str">
            <v>Pd 78/66</v>
          </cell>
          <cell r="AM11">
            <v>1.069</v>
          </cell>
          <cell r="AN11" t="str">
            <v>Ult//66Pd</v>
          </cell>
          <cell r="AO11">
            <v>1.3524109677881855</v>
          </cell>
          <cell r="AP11">
            <v>1.3524109677881855</v>
          </cell>
        </row>
        <row r="12">
          <cell r="AJ12">
            <v>2011</v>
          </cell>
          <cell r="AK12">
            <v>0</v>
          </cell>
          <cell r="AL12" t="str">
            <v>Pd 90/78</v>
          </cell>
          <cell r="AM12">
            <v>1.0469999999999999</v>
          </cell>
          <cell r="AN12" t="str">
            <v>Ult//78Pd</v>
          </cell>
          <cell r="AO12">
            <v>1.2651178370329144</v>
          </cell>
          <cell r="AP12">
            <v>1.2651178370329144</v>
          </cell>
        </row>
        <row r="13">
          <cell r="AJ13">
            <v>2010</v>
          </cell>
          <cell r="AK13">
            <v>0</v>
          </cell>
          <cell r="AL13" t="str">
            <v>Pd 102/90</v>
          </cell>
          <cell r="AM13">
            <v>1.0369999999999999</v>
          </cell>
          <cell r="AN13" t="str">
            <v>Ult//90Pd</v>
          </cell>
          <cell r="AO13">
            <v>1.2083264919130032</v>
          </cell>
          <cell r="AP13">
            <v>1.2083264919130032</v>
          </cell>
        </row>
        <row r="14">
          <cell r="AJ14">
            <v>2009</v>
          </cell>
          <cell r="AK14">
            <v>0</v>
          </cell>
          <cell r="AL14" t="str">
            <v>Pd 114/102</v>
          </cell>
          <cell r="AM14">
            <v>1.024</v>
          </cell>
          <cell r="AN14" t="str">
            <v>Ult/102Pd</v>
          </cell>
          <cell r="AO14">
            <v>1.1652135891157216</v>
          </cell>
          <cell r="AP14">
            <v>1.1652135891157216</v>
          </cell>
        </row>
        <row r="15">
          <cell r="AJ15">
            <v>2008</v>
          </cell>
          <cell r="AK15">
            <v>0</v>
          </cell>
          <cell r="AL15" t="str">
            <v>Pd 126/114</v>
          </cell>
          <cell r="AM15">
            <v>1.0236666666666665</v>
          </cell>
          <cell r="AN15" t="str">
            <v>Ult/114Pd</v>
          </cell>
          <cell r="AO15">
            <v>1.1379038956208218</v>
          </cell>
          <cell r="AP15">
            <v>1.1379038956208218</v>
          </cell>
        </row>
        <row r="16">
          <cell r="AJ16">
            <v>2007</v>
          </cell>
          <cell r="AK16">
            <v>0</v>
          </cell>
          <cell r="AL16" t="str">
            <v>Pd 138/126</v>
          </cell>
          <cell r="AM16">
            <v>1.018</v>
          </cell>
          <cell r="AN16" t="str">
            <v>Ult/126Pd</v>
          </cell>
          <cell r="AO16">
            <v>1.1115961207627698</v>
          </cell>
          <cell r="AP16">
            <v>1.1115961207627698</v>
          </cell>
        </row>
        <row r="17">
          <cell r="AJ17">
            <v>2006</v>
          </cell>
          <cell r="AK17">
            <v>0</v>
          </cell>
          <cell r="AL17" t="str">
            <v>Pd 150/138</v>
          </cell>
          <cell r="AM17">
            <v>1.0136666666666667</v>
          </cell>
          <cell r="AN17" t="str">
            <v>Ult/138Pd</v>
          </cell>
          <cell r="AO17">
            <v>1.091941179531208</v>
          </cell>
          <cell r="AP17">
            <v>1.091941179531208</v>
          </cell>
        </row>
        <row r="18">
          <cell r="AJ18">
            <v>2005</v>
          </cell>
          <cell r="AK18">
            <v>0</v>
          </cell>
          <cell r="AL18" t="str">
            <v>Pd 162/150</v>
          </cell>
          <cell r="AM18">
            <v>1.0096666666666667</v>
          </cell>
          <cell r="AN18" t="str">
            <v>Ult/150Pd</v>
          </cell>
          <cell r="AO18">
            <v>1.0772191840163181</v>
          </cell>
          <cell r="AP18">
            <v>1.0772191840163181</v>
          </cell>
        </row>
        <row r="19">
          <cell r="AJ19">
            <v>2004</v>
          </cell>
          <cell r="AK19">
            <v>0</v>
          </cell>
          <cell r="AL19" t="str">
            <v>Pd 174/162</v>
          </cell>
          <cell r="AM19">
            <v>1.0076666666666667</v>
          </cell>
          <cell r="AN19" t="str">
            <v>Ult/162Pd</v>
          </cell>
          <cell r="AO19">
            <v>1.0669057616536659</v>
          </cell>
          <cell r="AP19">
            <v>1.0669057616536659</v>
          </cell>
        </row>
        <row r="20">
          <cell r="AJ20">
            <v>2003</v>
          </cell>
          <cell r="AK20">
            <v>0</v>
          </cell>
          <cell r="AL20" t="str">
            <v>Pd 186/174</v>
          </cell>
          <cell r="AM20">
            <v>1.006</v>
          </cell>
          <cell r="AN20" t="str">
            <v>Ult/174Pd</v>
          </cell>
          <cell r="AO20">
            <v>1.0587883840426719</v>
          </cell>
          <cell r="AP20">
            <v>1.0587883840426719</v>
          </cell>
        </row>
        <row r="21">
          <cell r="AJ21">
            <v>2002</v>
          </cell>
          <cell r="AK21">
            <v>0</v>
          </cell>
          <cell r="AL21" t="str">
            <v>Pd 198/186</v>
          </cell>
          <cell r="AM21">
            <v>1.0049999999999999</v>
          </cell>
          <cell r="AN21" t="str">
            <v>Ult/186Pd</v>
          </cell>
          <cell r="AO21">
            <v>1.0524735427859562</v>
          </cell>
          <cell r="AP21">
            <v>1.0524735427859562</v>
          </cell>
        </row>
        <row r="22">
          <cell r="AJ22">
            <v>2001</v>
          </cell>
          <cell r="AK22">
            <v>0</v>
          </cell>
          <cell r="AL22" t="str">
            <v>Pd 210/198</v>
          </cell>
          <cell r="AM22">
            <v>1.0046666666666666</v>
          </cell>
          <cell r="AN22" t="str">
            <v>Ult/198Pd</v>
          </cell>
          <cell r="AO22">
            <v>1.0472373560059267</v>
          </cell>
          <cell r="AP22">
            <v>1.0472373560059267</v>
          </cell>
        </row>
        <row r="23">
          <cell r="AJ23">
            <v>2000</v>
          </cell>
          <cell r="AK23">
            <v>0</v>
          </cell>
          <cell r="AL23" t="str">
            <v>Pd 222/210</v>
          </cell>
          <cell r="AM23">
            <v>1.0043333333333333</v>
          </cell>
          <cell r="AN23" t="str">
            <v>Ult/210Pd</v>
          </cell>
          <cell r="AO23">
            <v>1.0423729489110087</v>
          </cell>
          <cell r="AP23">
            <v>1.0423729489110087</v>
          </cell>
        </row>
        <row r="24">
          <cell r="AJ24">
            <v>1999</v>
          </cell>
          <cell r="AK24">
            <v>0</v>
          </cell>
          <cell r="AL24" t="str">
            <v>Pd 234/222</v>
          </cell>
          <cell r="AM24">
            <v>1.0036666666666665</v>
          </cell>
          <cell r="AN24" t="str">
            <v>Ult/222Pd</v>
          </cell>
          <cell r="AO24">
            <v>1.0378754884610111</v>
          </cell>
          <cell r="AP24">
            <v>1.0378754884610111</v>
          </cell>
        </row>
        <row r="25">
          <cell r="AJ25">
            <v>1998</v>
          </cell>
          <cell r="AK25">
            <v>0</v>
          </cell>
          <cell r="AL25" t="str">
            <v>Inc 246/234</v>
          </cell>
          <cell r="AM25">
            <v>1.0006666666666666</v>
          </cell>
          <cell r="AN25" t="str">
            <v>Ult/234Inc</v>
          </cell>
          <cell r="AO25">
            <v>1.0095188880763055</v>
          </cell>
          <cell r="AP25">
            <v>1.0095188880763055</v>
          </cell>
        </row>
        <row r="26">
          <cell r="AJ26">
            <v>1997</v>
          </cell>
          <cell r="AK26">
            <v>0</v>
          </cell>
          <cell r="AL26" t="str">
            <v>Inc 258/246</v>
          </cell>
          <cell r="AM26">
            <v>1.0006666666666666</v>
          </cell>
          <cell r="AN26" t="str">
            <v>Ult/246Inc</v>
          </cell>
          <cell r="AO26">
            <v>1.0088463238603986</v>
          </cell>
          <cell r="AP26">
            <v>1.0088463238603986</v>
          </cell>
        </row>
        <row r="27">
          <cell r="AJ27">
            <v>1996</v>
          </cell>
          <cell r="AK27">
            <v>0</v>
          </cell>
          <cell r="AL27" t="str">
            <v>Inc 270/258</v>
          </cell>
          <cell r="AM27">
            <v>1.0004999999999999</v>
          </cell>
          <cell r="AN27" t="str">
            <v>Ult/258Inc</v>
          </cell>
          <cell r="AO27">
            <v>1.0081742077219173</v>
          </cell>
          <cell r="AP27">
            <v>1.0081742077219173</v>
          </cell>
        </row>
        <row r="28">
          <cell r="AJ28">
            <v>1995</v>
          </cell>
          <cell r="AK28">
            <v>0</v>
          </cell>
          <cell r="AL28" t="str">
            <v>Inc 282/270</v>
          </cell>
          <cell r="AM28">
            <v>1</v>
          </cell>
          <cell r="AN28" t="str">
            <v>Ult/270Inc</v>
          </cell>
          <cell r="AO28">
            <v>1.0076703725356495</v>
          </cell>
          <cell r="AP28">
            <v>1.0076703725356495</v>
          </cell>
        </row>
        <row r="29">
          <cell r="AJ29">
            <v>1994</v>
          </cell>
          <cell r="AK29">
            <v>0</v>
          </cell>
          <cell r="AL29" t="str">
            <v>Inc 294/282</v>
          </cell>
          <cell r="AM29">
            <v>1.0006666666666666</v>
          </cell>
          <cell r="AN29" t="str">
            <v>Ult/282Inc</v>
          </cell>
          <cell r="AO29">
            <v>1.0076703725356495</v>
          </cell>
          <cell r="AP29">
            <v>1.0076703725356495</v>
          </cell>
        </row>
        <row r="30">
          <cell r="AJ30">
            <v>1993</v>
          </cell>
          <cell r="AK30">
            <v>0</v>
          </cell>
          <cell r="AL30" t="str">
            <v>Inc 306/294</v>
          </cell>
          <cell r="AM30">
            <v>1.0003333333333333</v>
          </cell>
          <cell r="AN30" t="str">
            <v>Ult/294Inc</v>
          </cell>
          <cell r="AO30">
            <v>1.0069990398424213</v>
          </cell>
          <cell r="AP30">
            <v>1.0069990398424213</v>
          </cell>
        </row>
        <row r="31">
          <cell r="AJ31">
            <v>1992</v>
          </cell>
          <cell r="AK31">
            <v>0</v>
          </cell>
          <cell r="AL31" t="str">
            <v>Inc 318/306</v>
          </cell>
          <cell r="AM31">
            <v>1.0004999999999999</v>
          </cell>
          <cell r="AN31" t="str">
            <v>Ult/306Inc</v>
          </cell>
          <cell r="AO31">
            <v>1.0066634853473055</v>
          </cell>
          <cell r="AP31">
            <v>1.0066634853473055</v>
          </cell>
        </row>
        <row r="32">
          <cell r="AJ32">
            <v>1991</v>
          </cell>
          <cell r="AK32">
            <v>0</v>
          </cell>
          <cell r="AL32" t="str">
            <v>Inc 330/318</v>
          </cell>
          <cell r="AM32">
            <v>1.0006666666666666</v>
          </cell>
          <cell r="AN32" t="str">
            <v>Ult/318Inc</v>
          </cell>
          <cell r="AO32">
            <v>1.0061604051447333</v>
          </cell>
          <cell r="AP32">
            <v>1.0061604051447333</v>
          </cell>
        </row>
        <row r="33">
          <cell r="AJ33">
            <v>1990</v>
          </cell>
          <cell r="AK33">
            <v>0</v>
          </cell>
          <cell r="AL33" t="str">
            <v>Inc 342/330</v>
          </cell>
          <cell r="AM33">
            <v>1.0003333333333333</v>
          </cell>
          <cell r="AN33" t="str">
            <v>Ult/330Inc</v>
          </cell>
          <cell r="AO33">
            <v>1.0054900784257828</v>
          </cell>
          <cell r="AP33">
            <v>1.0054900784257828</v>
          </cell>
        </row>
        <row r="34">
          <cell r="AJ34">
            <v>1989</v>
          </cell>
          <cell r="AK34">
            <v>0</v>
          </cell>
          <cell r="AL34" t="str">
            <v>Inc 354/342</v>
          </cell>
          <cell r="AM34">
            <v>1.0004999999999999</v>
          </cell>
          <cell r="AN34" t="str">
            <v>Ult/342Inc</v>
          </cell>
          <cell r="AO34">
            <v>1.0051550267501994</v>
          </cell>
          <cell r="AP34">
            <v>1.0051550267501994</v>
          </cell>
        </row>
        <row r="35">
          <cell r="AJ35">
            <v>1988</v>
          </cell>
          <cell r="AK35">
            <v>0</v>
          </cell>
          <cell r="AL35" t="str">
            <v>Inc 366/354</v>
          </cell>
          <cell r="AM35">
            <v>1.0003999999999997</v>
          </cell>
          <cell r="AN35" t="str">
            <v>Ult/354Inc</v>
          </cell>
          <cell r="AO35">
            <v>1.0046527003999994</v>
          </cell>
          <cell r="AP35">
            <v>1.0046527003999994</v>
          </cell>
        </row>
        <row r="36">
          <cell r="AJ36">
            <v>1987</v>
          </cell>
          <cell r="AK36">
            <v>0</v>
          </cell>
          <cell r="AL36" t="str">
            <v>Inc 378/366</v>
          </cell>
          <cell r="AM36">
            <v>1.0002499999999999</v>
          </cell>
          <cell r="AN36" t="str">
            <v>Ult/366Inc</v>
          </cell>
          <cell r="AO36">
            <v>1.0042509999999998</v>
          </cell>
          <cell r="AP36">
            <v>1.0042509999999998</v>
          </cell>
        </row>
        <row r="37">
          <cell r="AJ37">
            <v>1986</v>
          </cell>
          <cell r="AK37">
            <v>0</v>
          </cell>
          <cell r="AL37" t="str">
            <v>Inc 390/378</v>
          </cell>
          <cell r="AM37">
            <v>1</v>
          </cell>
          <cell r="AN37" t="str">
            <v>Ult/378Inc</v>
          </cell>
          <cell r="AO37">
            <v>1.004</v>
          </cell>
          <cell r="AP37">
            <v>1.004</v>
          </cell>
        </row>
      </sheetData>
      <sheetData sheetId="8"/>
      <sheetData sheetId="9"/>
      <sheetData sheetId="10"/>
      <sheetData sheetId="11">
        <row r="6">
          <cell r="J6">
            <v>2016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M2">
            <v>2000</v>
          </cell>
          <cell r="BN2">
            <v>2001</v>
          </cell>
          <cell r="BO2">
            <v>2002</v>
          </cell>
          <cell r="BP2">
            <v>2003</v>
          </cell>
          <cell r="BQ2">
            <v>2004</v>
          </cell>
          <cell r="BR2">
            <v>2005</v>
          </cell>
          <cell r="BS2">
            <v>2006</v>
          </cell>
          <cell r="BT2">
            <v>2007</v>
          </cell>
          <cell r="BU2">
            <v>2008</v>
          </cell>
          <cell r="BV2">
            <v>2009</v>
          </cell>
          <cell r="BW2">
            <v>2010</v>
          </cell>
          <cell r="BX2">
            <v>2011</v>
          </cell>
          <cell r="BY2">
            <v>2012</v>
          </cell>
          <cell r="BZ2">
            <v>2013</v>
          </cell>
          <cell r="CA2">
            <v>2014</v>
          </cell>
          <cell r="CB2">
            <v>2015</v>
          </cell>
          <cell r="CC2">
            <v>2016</v>
          </cell>
          <cell r="CD2">
            <v>2017</v>
          </cell>
          <cell r="CE2">
            <v>2018</v>
          </cell>
          <cell r="CF2">
            <v>2019</v>
          </cell>
          <cell r="CG2">
            <v>2020</v>
          </cell>
          <cell r="CH2">
            <v>0</v>
          </cell>
          <cell r="CI2">
            <v>0</v>
          </cell>
        </row>
        <row r="3">
          <cell r="BM3">
            <v>3.3768572714992904</v>
          </cell>
          <cell r="BN3">
            <v>2.8261711188540506</v>
          </cell>
          <cell r="BO3">
            <v>1.5860316265060423</v>
          </cell>
          <cell r="BP3">
            <v>2.2700949733611355</v>
          </cell>
          <cell r="BQ3">
            <v>2.6772366930917388</v>
          </cell>
          <cell r="BR3">
            <v>3.3927468454954695</v>
          </cell>
          <cell r="BS3">
            <v>3.2259441007040652</v>
          </cell>
          <cell r="BT3">
            <v>2.8526724815013895</v>
          </cell>
          <cell r="BU3">
            <v>3.8391002966509746</v>
          </cell>
          <cell r="BV3">
            <v>-0.3555462662997424</v>
          </cell>
          <cell r="BW3">
            <v>1.6400434423898986</v>
          </cell>
          <cell r="BX3">
            <v>3.1568415686220437</v>
          </cell>
          <cell r="BY3">
            <v>2.0693372652606232</v>
          </cell>
          <cell r="BZ3">
            <v>1.4648326556271045</v>
          </cell>
          <cell r="CA3">
            <v>1.6222229774082195</v>
          </cell>
          <cell r="CB3">
            <v>0.11862713555245909</v>
          </cell>
          <cell r="CC3">
            <v>1.2615832057053273</v>
          </cell>
          <cell r="CD3">
            <v>2.316352783499656</v>
          </cell>
          <cell r="CE3">
            <v>2.3055768166938981</v>
          </cell>
          <cell r="CF3">
            <v>2.2513818666130763</v>
          </cell>
          <cell r="CG3">
            <v>2.1661014437844774</v>
          </cell>
          <cell r="CH3">
            <v>0</v>
          </cell>
          <cell r="CI3">
            <v>0</v>
          </cell>
        </row>
        <row r="4">
          <cell r="BM4">
            <v>2.4343158489499812</v>
          </cell>
          <cell r="BN4">
            <v>2.6706504251896126</v>
          </cell>
          <cell r="BO4">
            <v>2.3191260744985809</v>
          </cell>
          <cell r="BP4">
            <v>1.4570753478603187</v>
          </cell>
          <cell r="BQ4">
            <v>1.7596066761547446</v>
          </cell>
          <cell r="BR4">
            <v>2.1699512608603437</v>
          </cell>
          <cell r="BS4">
            <v>2.501348156137253</v>
          </cell>
          <cell r="BT4">
            <v>2.337070012140797</v>
          </cell>
          <cell r="BU4">
            <v>2.2979346704635573</v>
          </cell>
          <cell r="BV4">
            <v>1.6994361499548867</v>
          </cell>
          <cell r="BW4">
            <v>0.9585604488334506</v>
          </cell>
          <cell r="BX4">
            <v>1.6585606079431054</v>
          </cell>
          <cell r="BY4">
            <v>2.1100037406160186</v>
          </cell>
          <cell r="BZ4">
            <v>1.7630724299997582</v>
          </cell>
          <cell r="CA4">
            <v>1.749670577911691</v>
          </cell>
          <cell r="CB4">
            <v>1.8284192617175308</v>
          </cell>
          <cell r="CC4">
            <v>2.2109022558977531</v>
          </cell>
          <cell r="CD4">
            <v>2.1395163888984792</v>
          </cell>
          <cell r="CE4">
            <v>2.5102383207959185</v>
          </cell>
          <cell r="CF4">
            <v>1.9490737702990657</v>
          </cell>
          <cell r="CG4">
            <v>1.8765568380980511</v>
          </cell>
          <cell r="CH4">
            <v>0</v>
          </cell>
          <cell r="CI4">
            <v>0</v>
          </cell>
        </row>
        <row r="5">
          <cell r="BM5">
            <v>2.2648791387365441</v>
          </cell>
          <cell r="BN5">
            <v>3.1383454166252935</v>
          </cell>
          <cell r="BO5">
            <v>1.8103033220991771</v>
          </cell>
          <cell r="BP5">
            <v>2.1327910715974769</v>
          </cell>
          <cell r="BQ5">
            <v>3.4449229059591699</v>
          </cell>
          <cell r="BR5">
            <v>2.4439371559016956</v>
          </cell>
          <cell r="BS5">
            <v>2.3332022545549664</v>
          </cell>
          <cell r="BT5">
            <v>3.9661414969472117</v>
          </cell>
          <cell r="BU5">
            <v>5.5148458454260867</v>
          </cell>
          <cell r="BV5">
            <v>1.7975484932142689</v>
          </cell>
          <cell r="BW5">
            <v>0.76621291619335352</v>
          </cell>
          <cell r="BX5">
            <v>3.7411103239953141</v>
          </cell>
          <cell r="BY5">
            <v>2.6052467760848375</v>
          </cell>
          <cell r="BZ5">
            <v>1.3943111108576336</v>
          </cell>
          <cell r="CA5">
            <v>2.3994504372209202</v>
          </cell>
          <cell r="CB5">
            <v>1.8582109895512431</v>
          </cell>
          <cell r="CC5">
            <v>0.28168226025325155</v>
          </cell>
          <cell r="CD5">
            <v>1.0810971496073039</v>
          </cell>
          <cell r="CE5">
            <v>2.1138819387738486</v>
          </cell>
          <cell r="CF5">
            <v>2.7252223238086284</v>
          </cell>
          <cell r="CG5">
            <v>2.6172036040460465</v>
          </cell>
          <cell r="CH5">
            <v>0</v>
          </cell>
          <cell r="CI5">
            <v>0</v>
          </cell>
        </row>
        <row r="6">
          <cell r="BM6">
            <v>2.2380106571936129</v>
          </cell>
          <cell r="BN6">
            <v>3.2661570535093909</v>
          </cell>
          <cell r="BO6">
            <v>1.2978273408959815</v>
          </cell>
          <cell r="BP6">
            <v>2.1495681882888902</v>
          </cell>
          <cell r="BQ6">
            <v>3.785943234078113</v>
          </cell>
          <cell r="BR6">
            <v>1.9291021394682675</v>
          </cell>
          <cell r="BS6">
            <v>1.7608571554033299</v>
          </cell>
          <cell r="BT6">
            <v>4.209027358246324</v>
          </cell>
          <cell r="BU6">
            <v>6.4002418279543321</v>
          </cell>
          <cell r="BV6">
            <v>0.46623820491284595</v>
          </cell>
          <cell r="BW6">
            <v>0.33097267383619988</v>
          </cell>
          <cell r="BX6">
            <v>4.8022683942168953</v>
          </cell>
          <cell r="BY6">
            <v>2.4637434488429419</v>
          </cell>
          <cell r="BZ6">
            <v>0.90407948564726559</v>
          </cell>
          <cell r="CA6">
            <v>2.3889807217504577</v>
          </cell>
          <cell r="CB6">
            <v>1.1668114392623326</v>
          </cell>
          <cell r="CC6">
            <v>-1.3147230822153479</v>
          </cell>
          <cell r="CD6">
            <v>0.10194225352162843</v>
          </cell>
          <cell r="CE6">
            <v>1.7302784007621783</v>
          </cell>
          <cell r="CF6">
            <v>2.6818361371318091</v>
          </cell>
          <cell r="CG6">
            <v>2.5242112569051631</v>
          </cell>
          <cell r="CH6">
            <v>0</v>
          </cell>
          <cell r="CI6">
            <v>0</v>
          </cell>
        </row>
        <row r="7">
          <cell r="BM7">
            <v>2.3521098324247887</v>
          </cell>
          <cell r="BN7">
            <v>2.8799684387020461</v>
          </cell>
          <cell r="BO7">
            <v>2.5548844789569531</v>
          </cell>
          <cell r="BP7">
            <v>2.1360130871699017</v>
          </cell>
          <cell r="BQ7">
            <v>2.9699798645433062</v>
          </cell>
          <cell r="BR7">
            <v>3.1509710679525189</v>
          </cell>
          <cell r="BS7">
            <v>3.0848772080999582</v>
          </cell>
          <cell r="BT7">
            <v>3.6490846777564299</v>
          </cell>
          <cell r="BU7">
            <v>4.4083490193991102</v>
          </cell>
          <cell r="BV7">
            <v>3.4771714072633797</v>
          </cell>
          <cell r="BW7">
            <v>1.2727007389718927</v>
          </cell>
          <cell r="BX7">
            <v>2.3385010920031668</v>
          </cell>
          <cell r="BY7">
            <v>2.845851396600573</v>
          </cell>
          <cell r="BZ7">
            <v>2.1354152441419973</v>
          </cell>
          <cell r="CA7">
            <v>2.4324761675549791</v>
          </cell>
          <cell r="CB7">
            <v>2.8594876518396717</v>
          </cell>
          <cell r="CC7">
            <v>2.5750290901233992</v>
          </cell>
          <cell r="CD7">
            <v>2.442014577089298</v>
          </cell>
          <cell r="CE7">
            <v>2.6347427993227464</v>
          </cell>
          <cell r="CF7">
            <v>2.7836213700958194</v>
          </cell>
          <cell r="CG7">
            <v>2.74225000445449</v>
          </cell>
          <cell r="CH7">
            <v>0</v>
          </cell>
          <cell r="CI7">
            <v>0</v>
          </cell>
        </row>
        <row r="8">
          <cell r="BM8">
            <v>2.9118585808985982</v>
          </cell>
          <cell r="BN8">
            <v>2.6529248974138708</v>
          </cell>
          <cell r="BO8">
            <v>2.4077344984661133</v>
          </cell>
          <cell r="BP8">
            <v>1.9471677559912792</v>
          </cell>
          <cell r="BQ8">
            <v>2.6490361070299837</v>
          </cell>
          <cell r="BR8">
            <v>1.9734559333795774</v>
          </cell>
          <cell r="BS8">
            <v>2.4456637318701984</v>
          </cell>
          <cell r="BT8">
            <v>3.1432367350328123</v>
          </cell>
          <cell r="BU8">
            <v>3.6024921225548456</v>
          </cell>
          <cell r="BV8">
            <v>2.9221716485902904</v>
          </cell>
          <cell r="BW8">
            <v>1.1503139278887204</v>
          </cell>
          <cell r="BX8">
            <v>1.5199918790455387</v>
          </cell>
          <cell r="BY8">
            <v>1.8152602587441551</v>
          </cell>
          <cell r="BZ8">
            <v>1.6567404259467617</v>
          </cell>
          <cell r="CA8">
            <v>1.1427891514057895</v>
          </cell>
          <cell r="CB8">
            <v>0.93778916336425122</v>
          </cell>
          <cell r="CC8">
            <v>1.2507132022432599</v>
          </cell>
          <cell r="CD8">
            <v>1.642886840233533</v>
          </cell>
          <cell r="CE8">
            <v>2.0751840922374196</v>
          </cell>
          <cell r="CF8">
            <v>2.05637034570114</v>
          </cell>
          <cell r="CG8">
            <v>2.0419607088118736</v>
          </cell>
          <cell r="CH8">
            <v>0</v>
          </cell>
          <cell r="CI8">
            <v>0</v>
          </cell>
        </row>
        <row r="9">
          <cell r="BM9">
            <v>3.2530817498108684</v>
          </cell>
          <cell r="BN9">
            <v>3.7281268856132996</v>
          </cell>
          <cell r="BO9">
            <v>3.7561806623176821</v>
          </cell>
          <cell r="BP9">
            <v>2.4148011693564708</v>
          </cell>
          <cell r="BQ9">
            <v>2.6863220458278181</v>
          </cell>
          <cell r="BR9">
            <v>2.5513118312326046</v>
          </cell>
          <cell r="BS9">
            <v>3.4347035015409921</v>
          </cell>
          <cell r="BT9">
            <v>3.6518882825961954</v>
          </cell>
          <cell r="BU9">
            <v>2.5168607504449882</v>
          </cell>
          <cell r="BV9">
            <v>1.0896632665505777</v>
          </cell>
          <cell r="BW9">
            <v>-0.38422578854512884</v>
          </cell>
          <cell r="BX9">
            <v>1.3082260394517515</v>
          </cell>
          <cell r="BY9">
            <v>2.1608749601374018</v>
          </cell>
          <cell r="BZ9">
            <v>2.3230779104843493</v>
          </cell>
          <cell r="CA9">
            <v>2.8348553491037718</v>
          </cell>
          <cell r="CB9">
            <v>3.0644245070168967</v>
          </cell>
          <cell r="CC9">
            <v>3.3813641189467463</v>
          </cell>
          <cell r="CD9">
            <v>3.6631110038952759</v>
          </cell>
          <cell r="CE9">
            <v>4.0577918396585284</v>
          </cell>
          <cell r="CF9">
            <v>4.0180423014091895</v>
          </cell>
          <cell r="CG9">
            <v>3.8673687930873375</v>
          </cell>
          <cell r="CH9">
            <v>0</v>
          </cell>
          <cell r="CI9">
            <v>0</v>
          </cell>
        </row>
        <row r="10">
          <cell r="BM10">
            <v>3.6294487745328015</v>
          </cell>
          <cell r="BN10">
            <v>4.4538081645598435</v>
          </cell>
          <cell r="BO10">
            <v>3.9299037043463083</v>
          </cell>
          <cell r="BP10">
            <v>2.929883138564271</v>
          </cell>
          <cell r="BQ10">
            <v>2.6802368015570619</v>
          </cell>
          <cell r="BR10">
            <v>2.9933262251707915</v>
          </cell>
          <cell r="BS10">
            <v>3.5658141942410184</v>
          </cell>
          <cell r="BT10">
            <v>4.2592647439931808</v>
          </cell>
          <cell r="BU10">
            <v>3.6612790454475594</v>
          </cell>
          <cell r="BV10">
            <v>2.2774654072581408</v>
          </cell>
          <cell r="BW10">
            <v>0.23062966990751976</v>
          </cell>
          <cell r="BX10">
            <v>1.7052921766008187</v>
          </cell>
          <cell r="BY10">
            <v>2.6528604724972396</v>
          </cell>
          <cell r="BZ10">
            <v>2.82591676743262</v>
          </cell>
          <cell r="CA10">
            <v>3.151497418833729</v>
          </cell>
          <cell r="CB10">
            <v>3.5739902587340833</v>
          </cell>
          <cell r="CC10">
            <v>3.7717818786539841</v>
          </cell>
          <cell r="CD10">
            <v>3.9373442696130843</v>
          </cell>
          <cell r="CE10">
            <v>4.1982453627306375</v>
          </cell>
          <cell r="CF10">
            <v>4.1398546803432703</v>
          </cell>
          <cell r="CG10">
            <v>3.922742207013509</v>
          </cell>
          <cell r="CH10">
            <v>0</v>
          </cell>
          <cell r="CI10">
            <v>0</v>
          </cell>
        </row>
        <row r="11">
          <cell r="BM11">
            <v>2.9717938749946087</v>
          </cell>
          <cell r="BN11">
            <v>3.8382482486681342</v>
          </cell>
          <cell r="BO11">
            <v>4.0801486628424062</v>
          </cell>
          <cell r="BP11">
            <v>2.4336283185840282</v>
          </cell>
          <cell r="BQ11">
            <v>2.2735023303399022</v>
          </cell>
          <cell r="BR11">
            <v>2.3229965544070348</v>
          </cell>
          <cell r="BS11">
            <v>3.4868563980013181</v>
          </cell>
          <cell r="BT11">
            <v>3.384066337776833</v>
          </cell>
          <cell r="BU11">
            <v>2.5144340433596524</v>
          </cell>
          <cell r="BV11">
            <v>1.6572816434624542</v>
          </cell>
          <cell r="BW11">
            <v>-1.0262012562530348E-2</v>
          </cell>
          <cell r="BX11">
            <v>1.1638511439745673</v>
          </cell>
          <cell r="BY11">
            <v>2.0297370295781039</v>
          </cell>
          <cell r="BZ11">
            <v>2.2076675707821702</v>
          </cell>
          <cell r="CA11">
            <v>2.6403068017847429</v>
          </cell>
          <cell r="CB11">
            <v>2.9131213587107676</v>
          </cell>
          <cell r="CC11">
            <v>3.3013543442393551</v>
          </cell>
          <cell r="CD11">
            <v>3.7806612157838724</v>
          </cell>
          <cell r="CE11">
            <v>4.1732164232035434</v>
          </cell>
          <cell r="CF11">
            <v>4.1017484906525921</v>
          </cell>
          <cell r="CG11">
            <v>3.9463034695222223</v>
          </cell>
          <cell r="CH11">
            <v>0</v>
          </cell>
          <cell r="CI11">
            <v>0</v>
          </cell>
        </row>
        <row r="12">
          <cell r="BM12">
            <v>7.0587474120082847</v>
          </cell>
          <cell r="BN12">
            <v>8.9019157551217791</v>
          </cell>
          <cell r="BO12">
            <v>-4.400665926748049</v>
          </cell>
          <cell r="BP12">
            <v>7.6507807511464465</v>
          </cell>
          <cell r="BQ12">
            <v>4.7559989215422096</v>
          </cell>
          <cell r="BR12">
            <v>10.593503886343733</v>
          </cell>
          <cell r="BS12">
            <v>8.7456364905748032</v>
          </cell>
          <cell r="BT12">
            <v>3.046952576613617</v>
          </cell>
          <cell r="BU12">
            <v>9.662155791540842</v>
          </cell>
          <cell r="BV12">
            <v>-4.2367399006292938</v>
          </cell>
          <cell r="BW12">
            <v>1.6565711697922401</v>
          </cell>
          <cell r="BX12">
            <v>2.885529322370386</v>
          </cell>
          <cell r="BY12">
            <v>-0.62649277493150324</v>
          </cell>
          <cell r="BZ12">
            <v>2.8408535232588594</v>
          </cell>
          <cell r="CA12">
            <v>4.16560283294295</v>
          </cell>
          <cell r="CB12">
            <v>-1.9010218236523884</v>
          </cell>
          <cell r="CC12">
            <v>-0.55349350908002404</v>
          </cell>
          <cell r="CD12">
            <v>2.8291042561442543</v>
          </cell>
          <cell r="CE12">
            <v>2.035036123213775</v>
          </cell>
          <cell r="CF12">
            <v>1.2536664542373173</v>
          </cell>
          <cell r="CG12">
            <v>0.7942755292297019</v>
          </cell>
          <cell r="CH12">
            <v>0</v>
          </cell>
          <cell r="CI12">
            <v>0</v>
          </cell>
        </row>
        <row r="13">
          <cell r="BM13">
            <v>1.1835097639555525</v>
          </cell>
          <cell r="BN13">
            <v>0.64981480278121473</v>
          </cell>
          <cell r="BO13">
            <v>-0.56814513525729105</v>
          </cell>
          <cell r="BP13">
            <v>-1.7336536588533167</v>
          </cell>
          <cell r="BQ13">
            <v>-0.50878815911195518</v>
          </cell>
          <cell r="BR13">
            <v>0.49146576343229675</v>
          </cell>
          <cell r="BS13">
            <v>0.74020223382462413</v>
          </cell>
          <cell r="BT13">
            <v>-0.11848061405236943</v>
          </cell>
          <cell r="BU13">
            <v>0.72978941132118302</v>
          </cell>
          <cell r="BV13">
            <v>0.70500552619481238</v>
          </cell>
          <cell r="BW13">
            <v>-2.4956342749399933</v>
          </cell>
          <cell r="BX13">
            <v>-0.43582663622587953</v>
          </cell>
          <cell r="BY13">
            <v>0.64542980075514433</v>
          </cell>
          <cell r="BZ13">
            <v>-0.78290881040803262</v>
          </cell>
          <cell r="CA13">
            <v>-1.296242120154381</v>
          </cell>
          <cell r="CB13">
            <v>-0.44086787700633551</v>
          </cell>
          <cell r="CC13">
            <v>-0.80706772191300824</v>
          </cell>
          <cell r="CD13">
            <v>-0.10601776921400979</v>
          </cell>
          <cell r="CE13">
            <v>0.23898521008060028</v>
          </cell>
          <cell r="CF13">
            <v>0.1279258924908121</v>
          </cell>
          <cell r="CG13">
            <v>0.15300192552652497</v>
          </cell>
          <cell r="CH13">
            <v>0</v>
          </cell>
          <cell r="CI13">
            <v>0</v>
          </cell>
        </row>
        <row r="14">
          <cell r="BM14">
            <v>-1.3075214217708679</v>
          </cell>
          <cell r="BN14">
            <v>-1.7814650459836565</v>
          </cell>
          <cell r="BO14">
            <v>-2.5471451021477276</v>
          </cell>
          <cell r="BP14">
            <v>-2.5398105220721678</v>
          </cell>
          <cell r="BQ14">
            <v>-0.3653912443984802</v>
          </cell>
          <cell r="BR14">
            <v>-0.74038195405481322</v>
          </cell>
          <cell r="BS14">
            <v>-7.6681770651784761E-2</v>
          </cell>
          <cell r="BT14">
            <v>-0.37819171201338631</v>
          </cell>
          <cell r="BU14">
            <v>-7.6751828983495626E-2</v>
          </cell>
          <cell r="BV14">
            <v>0.9850141882691279</v>
          </cell>
          <cell r="BW14">
            <v>-0.47892414524427124</v>
          </cell>
          <cell r="BX14">
            <v>2.182021802784718</v>
          </cell>
          <cell r="BY14">
            <v>3.401763973663241</v>
          </cell>
          <cell r="BZ14">
            <v>0.9082119227151958</v>
          </cell>
          <cell r="CA14">
            <v>8.0775127278048267E-2</v>
          </cell>
          <cell r="CB14">
            <v>-1.2639763791105818</v>
          </cell>
          <cell r="CC14">
            <v>0.11344757517391849</v>
          </cell>
          <cell r="CD14">
            <v>0.21024842913661326</v>
          </cell>
          <cell r="CE14">
            <v>0.39046024273151703</v>
          </cell>
          <cell r="CF14">
            <v>0.85349882469102933</v>
          </cell>
          <cell r="CG14">
            <v>1.0062037119575558</v>
          </cell>
          <cell r="CH14">
            <v>0</v>
          </cell>
          <cell r="CI14">
            <v>0</v>
          </cell>
        </row>
        <row r="15">
          <cell r="BM15">
            <v>6.1865189289012035</v>
          </cell>
          <cell r="BN15">
            <v>0.59782608695651551</v>
          </cell>
          <cell r="BO15">
            <v>-0.90221501890868816</v>
          </cell>
          <cell r="BP15">
            <v>3.0747424085482122</v>
          </cell>
          <cell r="BQ15">
            <v>3.5172158459829816</v>
          </cell>
          <cell r="BR15">
            <v>6.6268138156550016</v>
          </cell>
          <cell r="BS15">
            <v>3.9963582347021998</v>
          </cell>
          <cell r="BT15">
            <v>2.113947380546469</v>
          </cell>
          <cell r="BU15">
            <v>5.8845878424080365</v>
          </cell>
          <cell r="BV15">
            <v>-8.3339157382280238</v>
          </cell>
          <cell r="BW15">
            <v>7.8902701916152607</v>
          </cell>
          <cell r="BX15">
            <v>9.8089368484598225</v>
          </cell>
          <cell r="BY15">
            <v>2.3409663819380886</v>
          </cell>
          <cell r="BZ15">
            <v>3.4125125716600986E-2</v>
          </cell>
          <cell r="CA15">
            <v>-0.67721016091216502</v>
          </cell>
          <cell r="CB15">
            <v>-7.8136173329613454</v>
          </cell>
          <cell r="CC15">
            <v>-2.0962835299244245</v>
          </cell>
          <cell r="CD15">
            <v>3.6554285443666372</v>
          </cell>
          <cell r="CE15">
            <v>1.4224862991840848</v>
          </cell>
          <cell r="CF15">
            <v>3.7736216260794064</v>
          </cell>
          <cell r="CG15">
            <v>3.9992877460519987</v>
          </cell>
          <cell r="CH15">
            <v>0</v>
          </cell>
          <cell r="CI15">
            <v>0</v>
          </cell>
        </row>
        <row r="16">
          <cell r="BM16">
            <v>-7.5832701394145774E-2</v>
          </cell>
          <cell r="BN16">
            <v>-0.4495037945125604</v>
          </cell>
          <cell r="BO16">
            <v>-1.4836099220078487</v>
          </cell>
          <cell r="BP16">
            <v>-1.5357142857142898</v>
          </cell>
          <cell r="BQ16">
            <v>-0.57429573207590046</v>
          </cell>
          <cell r="BR16">
            <v>0.62017389189515337</v>
          </cell>
          <cell r="BS16">
            <v>-0.23566378633151278</v>
          </cell>
          <cell r="BT16">
            <v>-0.96589945487582618</v>
          </cell>
          <cell r="BU16">
            <v>-1.5124280375009138</v>
          </cell>
          <cell r="BV16">
            <v>1.0654377628352936</v>
          </cell>
          <cell r="BW16">
            <v>1.756395312756335</v>
          </cell>
          <cell r="BX16">
            <v>2.809972549403243</v>
          </cell>
          <cell r="BY16">
            <v>1.6553496679491988</v>
          </cell>
          <cell r="BZ16">
            <v>1.0755235341189382</v>
          </cell>
          <cell r="CA16">
            <v>0.33714416371327449</v>
          </cell>
          <cell r="CB16">
            <v>0.58804829721220475</v>
          </cell>
          <cell r="CC16">
            <v>0.15122166717638097</v>
          </cell>
          <cell r="CD16">
            <v>1.0559467055743299</v>
          </cell>
          <cell r="CE16">
            <v>0.92074695256564398</v>
          </cell>
          <cell r="CF16">
            <v>0.88137199212426076</v>
          </cell>
          <cell r="CG16">
            <v>0.91867775834183818</v>
          </cell>
          <cell r="CH16">
            <v>0</v>
          </cell>
          <cell r="CI16">
            <v>0</v>
          </cell>
        </row>
        <row r="17">
          <cell r="BM17">
            <v>28.39547270306262</v>
          </cell>
          <cell r="BN17">
            <v>-3.5779102929738418</v>
          </cell>
          <cell r="BO17">
            <v>-6.4197364883033154</v>
          </cell>
          <cell r="BP17">
            <v>16.478701242726839</v>
          </cell>
          <cell r="BQ17">
            <v>18.162195497995697</v>
          </cell>
          <cell r="BR17">
            <v>21.931106471816253</v>
          </cell>
          <cell r="BS17">
            <v>12.974060440030815</v>
          </cell>
          <cell r="BT17">
            <v>8.1919448338574821</v>
          </cell>
          <cell r="BU17">
            <v>16.598436006177518</v>
          </cell>
          <cell r="BV17">
            <v>-27.356133690546276</v>
          </cell>
          <cell r="BW17">
            <v>18.376681662554901</v>
          </cell>
          <cell r="BX17">
            <v>26.446169283788091</v>
          </cell>
          <cell r="BY17">
            <v>3.2404576167534094</v>
          </cell>
          <cell r="BZ17">
            <v>-2.855146179257094</v>
          </cell>
          <cell r="CA17">
            <v>-3.8627378941216746</v>
          </cell>
          <cell r="CB17">
            <v>-27.117523890119621</v>
          </cell>
          <cell r="CC17">
            <v>-11.511521230021323</v>
          </cell>
          <cell r="CD17">
            <v>11.867838059579192</v>
          </cell>
          <cell r="CE17">
            <v>-1.4225491677336559</v>
          </cell>
          <cell r="CF17">
            <v>9.3817489309763786</v>
          </cell>
          <cell r="CG17">
            <v>9.6546371678645659</v>
          </cell>
          <cell r="CH17">
            <v>0</v>
          </cell>
          <cell r="CI17">
            <v>0</v>
          </cell>
        </row>
        <row r="18">
          <cell r="BM18">
            <v>4.057199866977049</v>
          </cell>
          <cell r="BN18">
            <v>4.6053052093320526</v>
          </cell>
          <cell r="BO18">
            <v>4.7080749136903961</v>
          </cell>
          <cell r="BP18">
            <v>4.0178571428571308</v>
          </cell>
          <cell r="BQ18">
            <v>4.3956352211843459</v>
          </cell>
          <cell r="BR18">
            <v>4.2213026655201791</v>
          </cell>
          <cell r="BS18">
            <v>4.0090752056101397</v>
          </cell>
          <cell r="BT18">
            <v>4.423256159833441</v>
          </cell>
          <cell r="BU18">
            <v>3.7063430250320168</v>
          </cell>
          <cell r="BV18">
            <v>3.1720769514953373</v>
          </cell>
          <cell r="BW18">
            <v>3.4137285270598832</v>
          </cell>
          <cell r="BX18">
            <v>3.0434469199961818</v>
          </cell>
          <cell r="BY18">
            <v>3.6642453087491944</v>
          </cell>
          <cell r="BZ18">
            <v>2.4608326787621451</v>
          </cell>
          <cell r="CA18">
            <v>2.3893026795049623</v>
          </cell>
          <cell r="CB18">
            <v>2.6326757100162923</v>
          </cell>
          <cell r="CC18">
            <v>3.7879136918779208</v>
          </cell>
          <cell r="CD18">
            <v>3.1776967902782527</v>
          </cell>
          <cell r="CE18">
            <v>2.7263448883095518</v>
          </cell>
          <cell r="CF18">
            <v>2.6674837467144417</v>
          </cell>
          <cell r="CG18">
            <v>2.620081292399262</v>
          </cell>
          <cell r="CH18">
            <v>0</v>
          </cell>
          <cell r="CI18">
            <v>0</v>
          </cell>
        </row>
        <row r="19">
          <cell r="BM19">
            <v>1.3240702901511856</v>
          </cell>
          <cell r="BN19">
            <v>1.5487617972090104</v>
          </cell>
          <cell r="BO19">
            <v>1.2630073874017025</v>
          </cell>
          <cell r="BP19">
            <v>1.2158770003137789</v>
          </cell>
          <cell r="BQ19">
            <v>1.0230179028132806</v>
          </cell>
          <cell r="BR19">
            <v>0.66743383199080186</v>
          </cell>
          <cell r="BS19">
            <v>1.4403292181069984</v>
          </cell>
          <cell r="BT19">
            <v>0.46720757268422852</v>
          </cell>
          <cell r="BU19">
            <v>1.6247432362809562</v>
          </cell>
          <cell r="BV19">
            <v>0.89923306552310789</v>
          </cell>
          <cell r="BW19">
            <v>-0.83929618426156671</v>
          </cell>
          <cell r="BX19">
            <v>3.8903952832817904E-2</v>
          </cell>
          <cell r="BY19">
            <v>1.1867339857442019</v>
          </cell>
          <cell r="BZ19">
            <v>0.49127053953305527</v>
          </cell>
          <cell r="CA19">
            <v>0.24060272138450484</v>
          </cell>
          <cell r="CB19">
            <v>0.34445926170608182</v>
          </cell>
          <cell r="CC19">
            <v>0.89959225097158091</v>
          </cell>
          <cell r="CD19">
            <v>1.4806957906786775</v>
          </cell>
          <cell r="CE19">
            <v>0.81728250303663763</v>
          </cell>
          <cell r="CF19">
            <v>0.81624812305332395</v>
          </cell>
          <cell r="CG19">
            <v>0.86451645429398882</v>
          </cell>
          <cell r="CH19">
            <v>0</v>
          </cell>
          <cell r="CI19">
            <v>0</v>
          </cell>
        </row>
        <row r="20">
          <cell r="BM20">
            <v>1.3178486121406758</v>
          </cell>
          <cell r="BN20">
            <v>2.6664498821234059</v>
          </cell>
          <cell r="BO20">
            <v>2.5180140945443084</v>
          </cell>
          <cell r="BP20">
            <v>1.7533019232254698</v>
          </cell>
          <cell r="BQ20">
            <v>1.6395931379990605</v>
          </cell>
          <cell r="BR20">
            <v>1.8820014936519871</v>
          </cell>
          <cell r="BS20">
            <v>2.7122122855886195</v>
          </cell>
          <cell r="BT20">
            <v>2.4065087068227622</v>
          </cell>
          <cell r="BU20">
            <v>3.3909207481949957</v>
          </cell>
          <cell r="BV20">
            <v>3.0428484669147591</v>
          </cell>
          <cell r="BW20">
            <v>1.9827044847977544</v>
          </cell>
          <cell r="BX20">
            <v>1.1909328236146766</v>
          </cell>
          <cell r="BY20">
            <v>1.8087635815737457</v>
          </cell>
          <cell r="BZ20">
            <v>1.5256529351261303</v>
          </cell>
          <cell r="CA20">
            <v>1.200697151295572</v>
          </cell>
          <cell r="CB20">
            <v>0.50217698905900343</v>
          </cell>
          <cell r="CC20">
            <v>0.66909777618597177</v>
          </cell>
          <cell r="CD20">
            <v>-0.41888501370688347</v>
          </cell>
          <cell r="CE20">
            <v>1.9030133008718217</v>
          </cell>
          <cell r="CF20">
            <v>0.52790479109603261</v>
          </cell>
          <cell r="CG20">
            <v>0.35860966449462273</v>
          </cell>
          <cell r="CH20">
            <v>0</v>
          </cell>
          <cell r="CI20">
            <v>0</v>
          </cell>
        </row>
        <row r="21">
          <cell r="BM21">
            <v>4.9561177077955643</v>
          </cell>
          <cell r="BN21">
            <v>4.2670929660600088</v>
          </cell>
          <cell r="BO21">
            <v>3.7533907300389253</v>
          </cell>
          <cell r="BP21">
            <v>1.8699025263576543</v>
          </cell>
          <cell r="BQ21">
            <v>2.011325912907671</v>
          </cell>
          <cell r="BR21">
            <v>2.8276088383285765</v>
          </cell>
          <cell r="BS21">
            <v>2.6674113079091404</v>
          </cell>
          <cell r="BT21">
            <v>3.6119673617406907</v>
          </cell>
          <cell r="BU21">
            <v>3.6159542393136066</v>
          </cell>
          <cell r="BV21">
            <v>6.7184677033308171</v>
          </cell>
          <cell r="BW21">
            <v>3.4471633460154507</v>
          </cell>
          <cell r="BX21">
            <v>1.5560276839871146</v>
          </cell>
          <cell r="BY21">
            <v>1.8517255174809191</v>
          </cell>
          <cell r="BZ21">
            <v>1.6752040098573153</v>
          </cell>
          <cell r="CA21">
            <v>1.7694440172734007</v>
          </cell>
          <cell r="CB21">
            <v>1.666351518408802</v>
          </cell>
          <cell r="CC21">
            <v>1.9704063453423211</v>
          </cell>
          <cell r="CD21">
            <v>2.1095154654283435</v>
          </cell>
          <cell r="CE21">
            <v>2.7936063820129671</v>
          </cell>
          <cell r="CF21">
            <v>2.8427602811302677</v>
          </cell>
          <cell r="CG21">
            <v>2.8449399736195948</v>
          </cell>
          <cell r="CH21">
            <v>0</v>
          </cell>
          <cell r="CI21">
            <v>0</v>
          </cell>
        </row>
        <row r="22">
          <cell r="BM22">
            <v>3.466408004900976</v>
          </cell>
          <cell r="BN22">
            <v>2.7384418019440302</v>
          </cell>
          <cell r="BO22">
            <v>1.3591393718182778</v>
          </cell>
          <cell r="BP22">
            <v>2.2364368633025209</v>
          </cell>
          <cell r="BQ22">
            <v>2.5999907308708572</v>
          </cell>
          <cell r="BR22">
            <v>3.5188363899177766</v>
          </cell>
          <cell r="BS22">
            <v>3.2290439411790328</v>
          </cell>
          <cell r="BT22">
            <v>2.8535317242253964</v>
          </cell>
          <cell r="BU22">
            <v>4.0861727284907214</v>
          </cell>
          <cell r="BV22">
            <v>-0.67420007099335899</v>
          </cell>
          <cell r="BW22">
            <v>2.0689660655536826</v>
          </cell>
          <cell r="BX22">
            <v>3.5557691573694234</v>
          </cell>
          <cell r="BY22">
            <v>2.1005302944826632</v>
          </cell>
          <cell r="BZ22">
            <v>1.3681181073328712</v>
          </cell>
          <cell r="CA22">
            <v>1.5027479276076257</v>
          </cell>
          <cell r="CB22">
            <v>-0.41263819942817831</v>
          </cell>
          <cell r="CC22">
            <v>0.97752469695007227</v>
          </cell>
          <cell r="CD22">
            <v>2.3562852765142184</v>
          </cell>
          <cell r="CE22">
            <v>2.3656390774288658</v>
          </cell>
          <cell r="CF22">
            <v>2.2709039606826376</v>
          </cell>
          <cell r="CG22">
            <v>2.1981064520798741</v>
          </cell>
          <cell r="CH22">
            <v>0</v>
          </cell>
          <cell r="CI22">
            <v>0</v>
          </cell>
        </row>
        <row r="23">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row>
        <row r="24">
          <cell r="BM24">
            <v>3.2967032967032934</v>
          </cell>
          <cell r="BN24">
            <v>3.3615078208491118</v>
          </cell>
          <cell r="BO24">
            <v>2.772816994078418</v>
          </cell>
          <cell r="BP24">
            <v>2.5928297055057588</v>
          </cell>
          <cell r="BQ24">
            <v>3.3385335413416271</v>
          </cell>
          <cell r="BR24">
            <v>4.4685990338164512</v>
          </cell>
          <cell r="BS24">
            <v>4.2650701899256882</v>
          </cell>
          <cell r="BT24">
            <v>3.2768779946936846</v>
          </cell>
          <cell r="BU24">
            <v>3.5290720925319139</v>
          </cell>
          <cell r="BV24">
            <v>-0.79512134961373637</v>
          </cell>
          <cell r="BW24">
            <v>1.1986760356631028</v>
          </cell>
          <cell r="BX24">
            <v>2.6712730519085075</v>
          </cell>
          <cell r="BY24">
            <v>2.0347873140455408</v>
          </cell>
          <cell r="BZ24">
            <v>1.0814952749727953</v>
          </cell>
          <cell r="CA24">
            <v>1.3490756262706884</v>
          </cell>
          <cell r="CB24">
            <v>0.90663819615571606</v>
          </cell>
          <cell r="CC24">
            <v>1.8860976602619257</v>
          </cell>
          <cell r="CD24">
            <v>2.834064437012874</v>
          </cell>
          <cell r="CE24">
            <v>2.5449814158141257</v>
          </cell>
          <cell r="CF24">
            <v>2.5855280067832518</v>
          </cell>
          <cell r="CG24">
            <v>2.5624349832936346</v>
          </cell>
          <cell r="CH24">
            <v>0</v>
          </cell>
          <cell r="CI24">
            <v>0</v>
          </cell>
        </row>
        <row r="25">
          <cell r="BM25">
            <v>2.0637991764647698</v>
          </cell>
          <cell r="BN25">
            <v>4.5788168959315403</v>
          </cell>
          <cell r="BO25">
            <v>2.1148036253776543</v>
          </cell>
          <cell r="BP25">
            <v>2.8903049613108731</v>
          </cell>
          <cell r="BQ25">
            <v>2.8666224286662274</v>
          </cell>
          <cell r="BR25">
            <v>2.2319700683782679</v>
          </cell>
          <cell r="BS25">
            <v>2.1495877502944745</v>
          </cell>
          <cell r="BT25">
            <v>3.7285343656055612</v>
          </cell>
          <cell r="BU25">
            <v>4.6489256959552963</v>
          </cell>
          <cell r="BV25">
            <v>0.95696448210675233</v>
          </cell>
          <cell r="BW25">
            <v>0.62611699241381724</v>
          </cell>
          <cell r="BX25">
            <v>4.0218819295951302</v>
          </cell>
          <cell r="BY25">
            <v>2.024070866353755</v>
          </cell>
          <cell r="BZ25">
            <v>0.89992420579710486</v>
          </cell>
          <cell r="CA25">
            <v>2.4146977782938857</v>
          </cell>
          <cell r="CB25">
            <v>1.9388624459516612</v>
          </cell>
          <cell r="CC25">
            <v>0.86586290164450219</v>
          </cell>
          <cell r="CD25">
            <v>2.1033265188336721</v>
          </cell>
          <cell r="CE25">
            <v>3.0687831806944836</v>
          </cell>
          <cell r="CF25">
            <v>3.6067421086049309</v>
          </cell>
          <cell r="CG25">
            <v>3.4313017239196539</v>
          </cell>
          <cell r="CH25">
            <v>0</v>
          </cell>
          <cell r="CI25">
            <v>0</v>
          </cell>
        </row>
        <row r="26">
          <cell r="BM26">
            <v>2.0618556701030886</v>
          </cell>
          <cell r="BN26">
            <v>4.9902696691687645</v>
          </cell>
          <cell r="BO26">
            <v>1.5137472968798349</v>
          </cell>
          <cell r="BP26">
            <v>3.1953743152769021</v>
          </cell>
          <cell r="BQ26">
            <v>3.2270295319543583</v>
          </cell>
          <cell r="BR26">
            <v>1.0774190915397919</v>
          </cell>
          <cell r="BS26">
            <v>1.1184237089675935</v>
          </cell>
          <cell r="BT26">
            <v>5.2141431081296856</v>
          </cell>
          <cell r="BU26">
            <v>5.9426189846386315</v>
          </cell>
          <cell r="BV26">
            <v>-0.65708543937643116</v>
          </cell>
          <cell r="BW26">
            <v>5.9858064269538547E-2</v>
          </cell>
          <cell r="BX26">
            <v>5.10831612242227</v>
          </cell>
          <cell r="BY26">
            <v>1.6371595093938984</v>
          </cell>
          <cell r="BZ26">
            <v>1.0092474430632361</v>
          </cell>
          <cell r="CA26">
            <v>2.1584975478450024</v>
          </cell>
          <cell r="CB26">
            <v>1.3480499925300695</v>
          </cell>
          <cell r="CC26">
            <v>-1.2367374336851455</v>
          </cell>
          <cell r="CD26">
            <v>1.06605130523167</v>
          </cell>
          <cell r="CE26">
            <v>2.6369339112282169</v>
          </cell>
          <cell r="CF26">
            <v>3.5911592555571565</v>
          </cell>
          <cell r="CG26">
            <v>3.3031706926325581</v>
          </cell>
          <cell r="CH26">
            <v>0</v>
          </cell>
          <cell r="CI26">
            <v>0</v>
          </cell>
        </row>
        <row r="27">
          <cell r="BM27">
            <v>2.0923405390979535</v>
          </cell>
          <cell r="BN27">
            <v>3.9002457259371579</v>
          </cell>
          <cell r="BO27">
            <v>2.9990439289488262</v>
          </cell>
          <cell r="BP27">
            <v>2.5062289315550208</v>
          </cell>
          <cell r="BQ27">
            <v>2.1971213421027396</v>
          </cell>
          <cell r="BR27">
            <v>3.6142330830574299</v>
          </cell>
          <cell r="BS27">
            <v>3.3756413718606382</v>
          </cell>
          <cell r="BT27">
            <v>1.945489376523863</v>
          </cell>
          <cell r="BU27">
            <v>3.082147902783027</v>
          </cell>
          <cell r="BV27">
            <v>2.9425948728317093</v>
          </cell>
          <cell r="BW27">
            <v>1.2510283030865927</v>
          </cell>
          <cell r="BX27">
            <v>2.6268006487105451</v>
          </cell>
          <cell r="BY27">
            <v>2.5433372426839096</v>
          </cell>
          <cell r="BZ27">
            <v>0.75557816800621547</v>
          </cell>
          <cell r="CA27">
            <v>2.7230607685885708</v>
          </cell>
          <cell r="CB27">
            <v>2.7778396154080589</v>
          </cell>
          <cell r="CC27">
            <v>3.7614673035378776</v>
          </cell>
          <cell r="CD27">
            <v>3.4417139683410065</v>
          </cell>
          <cell r="CE27">
            <v>3.6130941676501833</v>
          </cell>
          <cell r="CF27">
            <v>3.6261955456122825</v>
          </cell>
          <cell r="CG27">
            <v>3.5912048037526652</v>
          </cell>
          <cell r="CH27">
            <v>0</v>
          </cell>
          <cell r="CI27">
            <v>0</v>
          </cell>
        </row>
        <row r="28">
          <cell r="BM28">
            <v>3.4072900158478387</v>
          </cell>
          <cell r="BN28">
            <v>0.6257982120051202</v>
          </cell>
          <cell r="BO28">
            <v>1.772644582645841</v>
          </cell>
          <cell r="BP28">
            <v>2.4775523777851829</v>
          </cell>
          <cell r="BQ28">
            <v>1.289956190167115</v>
          </cell>
          <cell r="BR28">
            <v>1.5498598317981687</v>
          </cell>
          <cell r="BS28">
            <v>-0.17746578853968062</v>
          </cell>
          <cell r="BT28">
            <v>2.5406131479140508</v>
          </cell>
          <cell r="BU28">
            <v>3.1788382081657893</v>
          </cell>
          <cell r="BV28">
            <v>0.9710923949268554</v>
          </cell>
          <cell r="BW28">
            <v>0.70339690409206923</v>
          </cell>
          <cell r="BX28">
            <v>-0.1796153638523808</v>
          </cell>
          <cell r="BY28">
            <v>-0.27371557861045392</v>
          </cell>
          <cell r="BZ28">
            <v>0.34319421848887027</v>
          </cell>
          <cell r="CA28">
            <v>0.34154248527490194</v>
          </cell>
          <cell r="CB28">
            <v>1.7375132039205456</v>
          </cell>
          <cell r="CC28">
            <v>1.8578001062402656</v>
          </cell>
          <cell r="CD28">
            <v>0.75995885883836789</v>
          </cell>
          <cell r="CE28">
            <v>1.5616612364705715</v>
          </cell>
          <cell r="CF28">
            <v>1.6671749629522967</v>
          </cell>
          <cell r="CG28">
            <v>1.6507754720588124</v>
          </cell>
          <cell r="CH28">
            <v>0</v>
          </cell>
          <cell r="CI28">
            <v>0</v>
          </cell>
        </row>
        <row r="29">
          <cell r="BM29">
            <v>3.6651668541432558</v>
          </cell>
          <cell r="BN29">
            <v>4.5799801067004227</v>
          </cell>
          <cell r="BO29">
            <v>5.4385889066620479</v>
          </cell>
          <cell r="BP29">
            <v>4.0264053466726537</v>
          </cell>
          <cell r="BQ29">
            <v>5.1909660636159654</v>
          </cell>
          <cell r="BR29">
            <v>5.9839628297362255</v>
          </cell>
          <cell r="BS29">
            <v>5.6708502739968081</v>
          </cell>
          <cell r="BT29">
            <v>6.3192478838368507</v>
          </cell>
          <cell r="BU29">
            <v>3.2779843513199216</v>
          </cell>
          <cell r="BV29">
            <v>0.61606798168037979</v>
          </cell>
          <cell r="BW29">
            <v>-0.87185304657979878</v>
          </cell>
          <cell r="BX29">
            <v>0.71800577508452146</v>
          </cell>
          <cell r="BY29">
            <v>1.9671962085308126</v>
          </cell>
          <cell r="BZ29">
            <v>1.9004495005697799</v>
          </cell>
          <cell r="CA29">
            <v>2.3583766904609265</v>
          </cell>
          <cell r="CB29">
            <v>3.5901127307489671</v>
          </cell>
          <cell r="CC29">
            <v>4.5251042592390576</v>
          </cell>
          <cell r="CD29">
            <v>4.6347890362703339</v>
          </cell>
          <cell r="CE29">
            <v>3.7209736239959068</v>
          </cell>
          <cell r="CF29">
            <v>4.0580441107947287</v>
          </cell>
          <cell r="CG29">
            <v>4.1041919379721952</v>
          </cell>
          <cell r="CH29">
            <v>0</v>
          </cell>
          <cell r="CI29">
            <v>0</v>
          </cell>
        </row>
        <row r="30">
          <cell r="BM30">
            <v>4.0307948805962974</v>
          </cell>
          <cell r="BN30">
            <v>5.4348338439783106</v>
          </cell>
          <cell r="BO30">
            <v>5.6777539341917231</v>
          </cell>
          <cell r="BP30">
            <v>5.2754040104915729</v>
          </cell>
          <cell r="BQ30">
            <v>6.4054651396423816</v>
          </cell>
          <cell r="BR30">
            <v>6.4655009630272708</v>
          </cell>
          <cell r="BS30">
            <v>5.7607037707069511</v>
          </cell>
          <cell r="BT30">
            <v>6.158007714237824</v>
          </cell>
          <cell r="BU30">
            <v>4.519445035087343</v>
          </cell>
          <cell r="BV30">
            <v>1.6600234693390108</v>
          </cell>
          <cell r="BW30">
            <v>-0.17956850037256999</v>
          </cell>
          <cell r="BX30">
            <v>1.3200684058465184</v>
          </cell>
          <cell r="BY30">
            <v>2.1434800069854636</v>
          </cell>
          <cell r="BZ30">
            <v>2.4315210930720288</v>
          </cell>
          <cell r="CA30">
            <v>2.8322246019778801</v>
          </cell>
          <cell r="CB30">
            <v>3.866033540528476</v>
          </cell>
          <cell r="CC30">
            <v>4.690303134103706</v>
          </cell>
          <cell r="CD30">
            <v>4.7754147809560212</v>
          </cell>
          <cell r="CE30">
            <v>4.1043695726443676</v>
          </cell>
          <cell r="CF30">
            <v>4.1588543446808632</v>
          </cell>
          <cell r="CG30">
            <v>4.1274267735939336</v>
          </cell>
          <cell r="CH30">
            <v>0</v>
          </cell>
          <cell r="CI30">
            <v>0</v>
          </cell>
        </row>
        <row r="31">
          <cell r="BM31">
            <v>3.2272503468958686</v>
          </cell>
          <cell r="BN31">
            <v>4.4748937646344453</v>
          </cell>
          <cell r="BO31">
            <v>5.3332779945214766</v>
          </cell>
          <cell r="BP31">
            <v>4.8071240001575779</v>
          </cell>
          <cell r="BQ31">
            <v>4.7934132862137808</v>
          </cell>
          <cell r="BR31">
            <v>6.1168113654301539</v>
          </cell>
          <cell r="BS31">
            <v>5.4396700361743235</v>
          </cell>
          <cell r="BT31">
            <v>5.7561241503142062</v>
          </cell>
          <cell r="BU31">
            <v>3.6517356401224874</v>
          </cell>
          <cell r="BV31">
            <v>0.95900043524449075</v>
          </cell>
          <cell r="BW31">
            <v>-0.7363349957729306</v>
          </cell>
          <cell r="BX31">
            <v>0.56457137319883277</v>
          </cell>
          <cell r="BY31">
            <v>1.8921300416022666</v>
          </cell>
          <cell r="BZ31">
            <v>1.8593005618577856</v>
          </cell>
          <cell r="CA31">
            <v>2.2232140335334818</v>
          </cell>
          <cell r="CB31">
            <v>3.2821403657552262</v>
          </cell>
          <cell r="CC31">
            <v>4.3879275112457847</v>
          </cell>
          <cell r="CD31">
            <v>4.437592138215563</v>
          </cell>
          <cell r="CE31">
            <v>3.8130972226659599</v>
          </cell>
          <cell r="CF31">
            <v>4.2263968169070187</v>
          </cell>
          <cell r="CG31">
            <v>4.2741953628285847</v>
          </cell>
          <cell r="CH31">
            <v>0</v>
          </cell>
          <cell r="CI31">
            <v>0</v>
          </cell>
        </row>
        <row r="32">
          <cell r="BM32">
            <v>7.0683329511579736</v>
          </cell>
          <cell r="BN32">
            <v>14.520533276222086</v>
          </cell>
          <cell r="BO32">
            <v>4.8903642059002301</v>
          </cell>
          <cell r="BP32">
            <v>-1.782928459993921E-2</v>
          </cell>
          <cell r="BQ32">
            <v>-1.1903169720476245</v>
          </cell>
          <cell r="BR32">
            <v>9.4838476809239811</v>
          </cell>
          <cell r="BS32">
            <v>14.279238440616531</v>
          </cell>
          <cell r="BT32">
            <v>0.79661750387653651</v>
          </cell>
          <cell r="BU32">
            <v>4.9428464816894415</v>
          </cell>
          <cell r="BV32">
            <v>-3.9169851020317137</v>
          </cell>
          <cell r="BW32">
            <v>7.6820483853914325</v>
          </cell>
          <cell r="BX32">
            <v>2.9891573851330944</v>
          </cell>
          <cell r="BY32">
            <v>1.5699578556919809</v>
          </cell>
          <cell r="BZ32">
            <v>7.8778843509794845</v>
          </cell>
          <cell r="CA32">
            <v>4.1453604740624934</v>
          </cell>
          <cell r="CB32">
            <v>-0.7548422440267879</v>
          </cell>
          <cell r="CC32">
            <v>2.1112659799079756</v>
          </cell>
          <cell r="CD32">
            <v>2.0412731408924309</v>
          </cell>
          <cell r="CE32">
            <v>3.0393750369906223</v>
          </cell>
          <cell r="CF32">
            <v>2.4037102293823143</v>
          </cell>
          <cell r="CG32">
            <v>2.2619159359194558</v>
          </cell>
          <cell r="CH32">
            <v>0</v>
          </cell>
          <cell r="CI32">
            <v>0</v>
          </cell>
        </row>
        <row r="33">
          <cell r="BM33">
            <v>2.5684352821899092</v>
          </cell>
          <cell r="BN33">
            <v>1.4299835255354343</v>
          </cell>
          <cell r="BO33">
            <v>0.51975051975051234</v>
          </cell>
          <cell r="BP33">
            <v>-3.8973629782833439</v>
          </cell>
          <cell r="BQ33">
            <v>-1.3181787611809972</v>
          </cell>
          <cell r="BR33">
            <v>2.9305527158726759</v>
          </cell>
          <cell r="BS33">
            <v>3.1053433092763356</v>
          </cell>
          <cell r="BT33">
            <v>-0.99216542512203121</v>
          </cell>
          <cell r="BU33">
            <v>-1.2592184206259041</v>
          </cell>
          <cell r="BV33">
            <v>6.286391440522196E-2</v>
          </cell>
          <cell r="BW33">
            <v>-3.4804203787452428</v>
          </cell>
          <cell r="BX33">
            <v>-1.0208287423585862</v>
          </cell>
          <cell r="BY33">
            <v>-0.38171689456299518</v>
          </cell>
          <cell r="BZ33">
            <v>-1.1954098469213146</v>
          </cell>
          <cell r="CA33">
            <v>-1.5020434493033432</v>
          </cell>
          <cell r="CB33">
            <v>-1.500991943251909</v>
          </cell>
          <cell r="CC33">
            <v>-0.25077535277651136</v>
          </cell>
          <cell r="CD33">
            <v>0.76107790694738819</v>
          </cell>
          <cell r="CE33">
            <v>-0.40122280562998497</v>
          </cell>
          <cell r="CF33">
            <v>-0.18133186117107425</v>
          </cell>
          <cell r="CG33">
            <v>-0.17294043532453815</v>
          </cell>
          <cell r="CH33">
            <v>0</v>
          </cell>
          <cell r="CJ33">
            <v>0</v>
          </cell>
        </row>
        <row r="34">
          <cell r="BM34">
            <v>-0.96614950634697871</v>
          </cell>
          <cell r="BN34">
            <v>-4.1871395001068077</v>
          </cell>
          <cell r="BO34">
            <v>-2.8019323671497829</v>
          </cell>
          <cell r="BP34">
            <v>-2.385685884691831</v>
          </cell>
          <cell r="BQ34">
            <v>-1.3159956133479342</v>
          </cell>
          <cell r="BR34">
            <v>0.40482616288295387</v>
          </cell>
          <cell r="BS34">
            <v>0.48225156138828545</v>
          </cell>
          <cell r="BT34">
            <v>-1.4703383162864145</v>
          </cell>
          <cell r="BU34">
            <v>1.8905033250499981</v>
          </cell>
          <cell r="BV34">
            <v>1.5102034738598467</v>
          </cell>
          <cell r="BW34">
            <v>0.99238992724996222</v>
          </cell>
          <cell r="BX34">
            <v>2.3533171114683902</v>
          </cell>
          <cell r="BY34">
            <v>1.7775852475361897</v>
          </cell>
          <cell r="BZ34">
            <v>-1.8674758474933724</v>
          </cell>
          <cell r="CA34">
            <v>1.2769518271493614</v>
          </cell>
          <cell r="CB34">
            <v>-2.6721099767190051</v>
          </cell>
          <cell r="CC34">
            <v>1.1389585580828596</v>
          </cell>
          <cell r="CD34">
            <v>-1.4879529414235708</v>
          </cell>
          <cell r="CE34">
            <v>1.1139255426592265</v>
          </cell>
          <cell r="CF34">
            <v>0.55102652627976922</v>
          </cell>
          <cell r="CG34">
            <v>0.28864855230119668</v>
          </cell>
          <cell r="CH34">
            <v>0</v>
          </cell>
          <cell r="CJ34">
            <v>0</v>
          </cell>
        </row>
        <row r="35">
          <cell r="BM35">
            <v>5.0820509908579936</v>
          </cell>
          <cell r="BN35">
            <v>0.68086026153680623</v>
          </cell>
          <cell r="BO35">
            <v>-0.52060970373552951</v>
          </cell>
          <cell r="BP35">
            <v>3.7766387914755937</v>
          </cell>
          <cell r="BQ35">
            <v>3.883545619963622</v>
          </cell>
          <cell r="BR35">
            <v>4.9594635171654442</v>
          </cell>
          <cell r="BS35">
            <v>3.8954846707671789</v>
          </cell>
          <cell r="BT35">
            <v>0.87237264800365111</v>
          </cell>
          <cell r="BU35">
            <v>5.1454293408261851</v>
          </cell>
          <cell r="BV35">
            <v>-7.2743093566456913</v>
          </cell>
          <cell r="BW35">
            <v>6.8867362361635962</v>
          </cell>
          <cell r="BX35">
            <v>8.8503259667567633</v>
          </cell>
          <cell r="BY35">
            <v>2.9741779348925594</v>
          </cell>
          <cell r="BZ35">
            <v>-0.74011207233327081</v>
          </cell>
          <cell r="CA35">
            <v>-1.4297334808218687</v>
          </cell>
          <cell r="CB35">
            <v>-4.5608080537863662</v>
          </cell>
          <cell r="CC35">
            <v>-4.238182096508667</v>
          </cell>
          <cell r="CD35">
            <v>4.0764750309295712</v>
          </cell>
          <cell r="CE35">
            <v>1.6626994611196526</v>
          </cell>
          <cell r="CF35">
            <v>3.9182501546206447</v>
          </cell>
          <cell r="CG35">
            <v>4.0855113785185706</v>
          </cell>
          <cell r="CH35">
            <v>0</v>
          </cell>
          <cell r="CJ35">
            <v>0</v>
          </cell>
        </row>
        <row r="36">
          <cell r="BM36">
            <v>19.128664495113995</v>
          </cell>
          <cell r="BN36">
            <v>0.25292227766767295</v>
          </cell>
          <cell r="BO36">
            <v>-3.7842629210418885</v>
          </cell>
          <cell r="BP36">
            <v>20.841896392885015</v>
          </cell>
          <cell r="BQ36">
            <v>16.520056298381412</v>
          </cell>
          <cell r="BR36">
            <v>15.350546076803035</v>
          </cell>
          <cell r="BS36">
            <v>13.45608447139927</v>
          </cell>
          <cell r="BT36">
            <v>7.3846094681383079</v>
          </cell>
          <cell r="BU36">
            <v>15.116236594490177</v>
          </cell>
          <cell r="BV36">
            <v>-23.469550923091482</v>
          </cell>
          <cell r="BW36">
            <v>15.221907905140128</v>
          </cell>
          <cell r="BX36">
            <v>23.767960607761498</v>
          </cell>
          <cell r="BY36">
            <v>5.8349642918428923</v>
          </cell>
          <cell r="BZ36">
            <v>-3.0510694984085331</v>
          </cell>
          <cell r="CA36">
            <v>-4.4374343673428518</v>
          </cell>
          <cell r="CB36">
            <v>-14.320794708840584</v>
          </cell>
          <cell r="CC36">
            <v>-14.974431984940475</v>
          </cell>
          <cell r="CD36">
            <v>10.380868388865494</v>
          </cell>
          <cell r="CE36">
            <v>-0.63825909657044599</v>
          </cell>
          <cell r="CF36">
            <v>8.0092121002543539</v>
          </cell>
          <cell r="CG36">
            <v>9.0014071709799701</v>
          </cell>
          <cell r="CH36">
            <v>0</v>
          </cell>
          <cell r="CJ36">
            <v>0</v>
          </cell>
        </row>
        <row r="37">
          <cell r="BM37">
            <v>3.1353304024810082</v>
          </cell>
          <cell r="BN37">
            <v>5.3200277566665299</v>
          </cell>
          <cell r="BO37">
            <v>5.8701722461017285</v>
          </cell>
          <cell r="BP37">
            <v>3.1679706021811382</v>
          </cell>
          <cell r="BQ37">
            <v>3.4498606842271538</v>
          </cell>
          <cell r="BR37">
            <v>5.0785805520075362</v>
          </cell>
          <cell r="BS37">
            <v>4.0456623417805302</v>
          </cell>
          <cell r="BT37">
            <v>3.6100218418245502</v>
          </cell>
          <cell r="BU37">
            <v>3.8236654564815087</v>
          </cell>
          <cell r="BV37">
            <v>2.9713643797504412</v>
          </cell>
          <cell r="BW37">
            <v>3.0664592094890972</v>
          </cell>
          <cell r="BX37">
            <v>3.8585604573134882</v>
          </cell>
          <cell r="BY37">
            <v>3.8340870617956018</v>
          </cell>
          <cell r="BZ37">
            <v>1.326088185287231</v>
          </cell>
          <cell r="CA37">
            <v>2.1255946589563259</v>
          </cell>
          <cell r="CB37">
            <v>2.1820262327174609</v>
          </cell>
          <cell r="CC37">
            <v>7.6318387829512693</v>
          </cell>
          <cell r="CD37">
            <v>3.3790915436702753</v>
          </cell>
          <cell r="CE37">
            <v>3.1290276993146557</v>
          </cell>
          <cell r="CF37">
            <v>2.892107561246307</v>
          </cell>
          <cell r="CG37">
            <v>2.808338831759122</v>
          </cell>
          <cell r="CH37">
            <v>0</v>
          </cell>
          <cell r="CJ37">
            <v>0</v>
          </cell>
        </row>
        <row r="38">
          <cell r="BM38">
            <v>2.5607461343368789</v>
          </cell>
          <cell r="BN38">
            <v>1.4677728142948703</v>
          </cell>
          <cell r="BO38">
            <v>2.7672955974842663</v>
          </cell>
          <cell r="BP38">
            <v>1.1704406364748872</v>
          </cell>
          <cell r="BQ38">
            <v>1.8449905482041833</v>
          </cell>
          <cell r="BR38">
            <v>0.76471898433439822</v>
          </cell>
          <cell r="BS38">
            <v>1.6872973769525474</v>
          </cell>
          <cell r="BT38">
            <v>-0.61901311499169243</v>
          </cell>
          <cell r="BU38">
            <v>1.1785146370147412</v>
          </cell>
          <cell r="BV38">
            <v>-2.8185780859409082</v>
          </cell>
          <cell r="BW38">
            <v>-5.6221716185664272</v>
          </cell>
          <cell r="BX38">
            <v>-1.7297487558788065</v>
          </cell>
          <cell r="BY38">
            <v>-0.31476610407991951</v>
          </cell>
          <cell r="BZ38">
            <v>-0.4091165376597875</v>
          </cell>
          <cell r="CA38">
            <v>1.2718525414501591</v>
          </cell>
          <cell r="CB38">
            <v>-0.6832468539392933</v>
          </cell>
          <cell r="CC38">
            <v>2.63921283207348</v>
          </cell>
          <cell r="CD38">
            <v>-0.37608384462069228</v>
          </cell>
          <cell r="CE38">
            <v>0.47866450965254032</v>
          </cell>
          <cell r="CF38">
            <v>0.49070793973973825</v>
          </cell>
          <cell r="CG38">
            <v>0.44451127567654847</v>
          </cell>
          <cell r="CH38">
            <v>0</v>
          </cell>
          <cell r="CJ38">
            <v>0</v>
          </cell>
        </row>
        <row r="39">
          <cell r="BM39">
            <v>0.56297790101673939</v>
          </cell>
          <cell r="BN39">
            <v>1.737967914438475</v>
          </cell>
          <cell r="BO39">
            <v>1.585085413929056</v>
          </cell>
          <cell r="BP39">
            <v>3.8483305036785249</v>
          </cell>
          <cell r="BQ39">
            <v>4.1961852861035771</v>
          </cell>
          <cell r="BR39">
            <v>3.474297668858338</v>
          </cell>
          <cell r="BS39">
            <v>2.1590006498663978</v>
          </cell>
          <cell r="BT39">
            <v>2.3236499858637467</v>
          </cell>
          <cell r="BU39">
            <v>4.1610858790819583</v>
          </cell>
          <cell r="BV39">
            <v>3.2625202763553038</v>
          </cell>
          <cell r="BW39">
            <v>3.6479760582103657</v>
          </cell>
          <cell r="BX39">
            <v>2.0981924056625427</v>
          </cell>
          <cell r="BY39">
            <v>2.6981822772027146</v>
          </cell>
          <cell r="BZ39">
            <v>2.2103300012527733</v>
          </cell>
          <cell r="CA39">
            <v>0.86989200064754302</v>
          </cell>
          <cell r="CB39">
            <v>0.66006146664786458</v>
          </cell>
          <cell r="CC39">
            <v>-1.6505504492080048</v>
          </cell>
          <cell r="CD39">
            <v>8.7829251135501524E-3</v>
          </cell>
          <cell r="CE39">
            <v>2.1710734611244051</v>
          </cell>
          <cell r="CF39">
            <v>0.76908820036565517</v>
          </cell>
          <cell r="CG39">
            <v>0.62211176352341313</v>
          </cell>
          <cell r="CH39">
            <v>0</v>
          </cell>
          <cell r="CJ39">
            <v>0</v>
          </cell>
        </row>
        <row r="40">
          <cell r="BM40">
            <v>4.211993575952258</v>
          </cell>
          <cell r="BN40">
            <v>2.9687999767380773</v>
          </cell>
          <cell r="BO40">
            <v>0.54783689144922887</v>
          </cell>
          <cell r="BP40">
            <v>0.69089479301239831</v>
          </cell>
          <cell r="BQ40">
            <v>1.0543344862211619</v>
          </cell>
          <cell r="BR40">
            <v>2.274358266629867</v>
          </cell>
          <cell r="BS40">
            <v>4.2721433583418778</v>
          </cell>
          <cell r="BT40">
            <v>2.599270129668461</v>
          </cell>
          <cell r="BU40">
            <v>3.2546123636774427</v>
          </cell>
          <cell r="BV40">
            <v>3.8301110759574777</v>
          </cell>
          <cell r="BW40">
            <v>2.6976291536987862</v>
          </cell>
          <cell r="BX40">
            <v>1.638193414050042</v>
          </cell>
          <cell r="BY40">
            <v>0.69210002380488145</v>
          </cell>
          <cell r="BZ40">
            <v>0.82115338032036023</v>
          </cell>
          <cell r="CA40">
            <v>1.0404479237561819</v>
          </cell>
          <cell r="CB40">
            <v>1.6863719564924908</v>
          </cell>
          <cell r="CC40">
            <v>1.4509288451613664</v>
          </cell>
          <cell r="CD40">
            <v>0.57676424655173397</v>
          </cell>
          <cell r="CE40">
            <v>2.2497030603345207</v>
          </cell>
          <cell r="CF40">
            <v>2.3026004590033597</v>
          </cell>
          <cell r="CG40">
            <v>2.2475080267420866</v>
          </cell>
          <cell r="CH40">
            <v>0</v>
          </cell>
          <cell r="CJ40">
            <v>0</v>
          </cell>
        </row>
        <row r="41">
          <cell r="BM41">
            <v>3.2536035095049072</v>
          </cell>
          <cell r="BN41">
            <v>3.2825856051793023</v>
          </cell>
          <cell r="BO41">
            <v>2.8452497551420186</v>
          </cell>
          <cell r="BP41">
            <v>3.0093805056901966</v>
          </cell>
          <cell r="BQ41">
            <v>3.5039060694309758</v>
          </cell>
          <cell r="BR41">
            <v>4.4303514805055526</v>
          </cell>
          <cell r="BS41">
            <v>4.1611427105161951</v>
          </cell>
          <cell r="BT41">
            <v>3.2982016751519181</v>
          </cell>
          <cell r="BU41">
            <v>3.8651695932837544</v>
          </cell>
          <cell r="BV41">
            <v>-1.1517019902218646</v>
          </cell>
          <cell r="BW41">
            <v>1.476493178685919</v>
          </cell>
          <cell r="BX41">
            <v>3.0383954946152838</v>
          </cell>
          <cell r="BY41">
            <v>2.0336470356501013</v>
          </cell>
          <cell r="BZ41">
            <v>1.1256308540424771</v>
          </cell>
          <cell r="CA41">
            <v>1.3084862681605469</v>
          </cell>
          <cell r="CB41">
            <v>0.58364883594326999</v>
          </cell>
          <cell r="CC41">
            <v>1.4765026933699297</v>
          </cell>
          <cell r="CD41">
            <v>2.8767339572392232</v>
          </cell>
          <cell r="CE41">
            <v>2.6530284654594074</v>
          </cell>
          <cell r="CF41">
            <v>2.6243328942273427</v>
          </cell>
          <cell r="CG41">
            <v>2.6129782840976592</v>
          </cell>
          <cell r="CH41">
            <v>0</v>
          </cell>
          <cell r="CI41">
            <v>0</v>
          </cell>
          <cell r="CJ41">
            <v>0</v>
          </cell>
        </row>
        <row r="42">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BM43">
            <v>4.4717705892300996</v>
          </cell>
          <cell r="BN43">
            <v>5.4088428452501933</v>
          </cell>
          <cell r="BO43">
            <v>1.6036680341355258</v>
          </cell>
          <cell r="BP43">
            <v>1.7985922183357075</v>
          </cell>
          <cell r="BQ43">
            <v>1.2026215877998514</v>
          </cell>
          <cell r="BR43">
            <v>1.9595925724106327</v>
          </cell>
          <cell r="BS43">
            <v>3.2251433739645181</v>
          </cell>
          <cell r="BT43">
            <v>3.2542713767971647</v>
          </cell>
          <cell r="BU43">
            <v>3.1098758915479516</v>
          </cell>
          <cell r="BV43">
            <v>0.72990120410133252</v>
          </cell>
          <cell r="BW43">
            <v>1.3696775843138806</v>
          </cell>
          <cell r="BX43">
            <v>2.6033174795508196</v>
          </cell>
          <cell r="BY43">
            <v>2.6821749684497709</v>
          </cell>
          <cell r="BZ43">
            <v>2.24187038587004</v>
          </cell>
          <cell r="CA43">
            <v>2.8414932566060651</v>
          </cell>
          <cell r="CB43">
            <v>2.5764319656541588</v>
          </cell>
          <cell r="CC43">
            <v>3.074371159413761</v>
          </cell>
          <cell r="CD43">
            <v>3.4717644332045099</v>
          </cell>
          <cell r="CE43">
            <v>3.7017027875064659</v>
          </cell>
          <cell r="CF43">
            <v>3.4917097964843631</v>
          </cell>
          <cell r="CG43">
            <v>3.4308959463547928</v>
          </cell>
          <cell r="CH43">
            <v>0</v>
          </cell>
          <cell r="CI43">
            <v>0</v>
          </cell>
          <cell r="CJ43">
            <v>0</v>
          </cell>
        </row>
        <row r="44">
          <cell r="BM44">
            <v>2.4563278991229001</v>
          </cell>
          <cell r="BN44">
            <v>3.718283139672736</v>
          </cell>
          <cell r="BO44">
            <v>2.1240111573460485</v>
          </cell>
          <cell r="BP44">
            <v>2.4044596682114125</v>
          </cell>
          <cell r="BQ44">
            <v>4.8009444480881216</v>
          </cell>
          <cell r="BR44">
            <v>1.6125331163819459</v>
          </cell>
          <cell r="BS44">
            <v>1.759392321905149</v>
          </cell>
          <cell r="BT44">
            <v>4.0887283878386773</v>
          </cell>
          <cell r="BU44">
            <v>4.338401268683036</v>
          </cell>
          <cell r="BV44">
            <v>1.4416332293059804</v>
          </cell>
          <cell r="BW44">
            <v>-0.22657827434268196</v>
          </cell>
          <cell r="BX44">
            <v>2.9362203774920506</v>
          </cell>
          <cell r="BY44">
            <v>2.4768869471228001</v>
          </cell>
          <cell r="BZ44">
            <v>2.6734176334207786</v>
          </cell>
          <cell r="CA44">
            <v>2.8820491528942127</v>
          </cell>
          <cell r="CB44">
            <v>3.521503056146539</v>
          </cell>
          <cell r="CC44">
            <v>1.909389521063064</v>
          </cell>
          <cell r="CD44">
            <v>1.4188423848896419</v>
          </cell>
          <cell r="CE44">
            <v>3.6862479270188473</v>
          </cell>
          <cell r="CF44">
            <v>3.9703942065045683</v>
          </cell>
          <cell r="CG44">
            <v>3.9203739065988779</v>
          </cell>
          <cell r="CH44">
            <v>0</v>
          </cell>
          <cell r="CI44">
            <v>0</v>
          </cell>
          <cell r="CJ44">
            <v>0</v>
          </cell>
        </row>
        <row r="45">
          <cell r="BM45">
            <v>3.058801177923439</v>
          </cell>
          <cell r="BN45">
            <v>4.0418471748548113</v>
          </cell>
          <cell r="BO45">
            <v>0.94352159468438845</v>
          </cell>
          <cell r="BP45">
            <v>3.067403896787777</v>
          </cell>
          <cell r="BQ45">
            <v>4.7941414399455127</v>
          </cell>
          <cell r="BR45">
            <v>0.16251574371264904</v>
          </cell>
          <cell r="BS45">
            <v>0.53543179329091617</v>
          </cell>
          <cell r="BT45">
            <v>4.3446842848496603</v>
          </cell>
          <cell r="BU45">
            <v>5.5352618124858344</v>
          </cell>
          <cell r="BV45">
            <v>-1.2858443540276348</v>
          </cell>
          <cell r="BW45">
            <v>-0.88704050121740785</v>
          </cell>
          <cell r="BX45">
            <v>3.5294368771628983</v>
          </cell>
          <cell r="BY45">
            <v>1.9411203618331603</v>
          </cell>
          <cell r="BZ45">
            <v>1.190808632156156</v>
          </cell>
          <cell r="CA45">
            <v>3.1891291609933785</v>
          </cell>
          <cell r="CB45">
            <v>3.0444538309431257</v>
          </cell>
          <cell r="CC45">
            <v>5.7051424109000022E-3</v>
          </cell>
          <cell r="CD45">
            <v>0.10134458908003888</v>
          </cell>
          <cell r="CE45">
            <v>3.100275158277717</v>
          </cell>
          <cell r="CF45">
            <v>3.9271687199664647</v>
          </cell>
          <cell r="CG45">
            <v>3.6924334702322343</v>
          </cell>
          <cell r="CH45">
            <v>0</v>
          </cell>
          <cell r="CI45">
            <v>0</v>
          </cell>
          <cell r="CJ45">
            <v>0</v>
          </cell>
        </row>
        <row r="46">
          <cell r="BM46">
            <v>2.0776761914252226</v>
          </cell>
          <cell r="BN46">
            <v>2.8505186089078753</v>
          </cell>
          <cell r="BO46">
            <v>3.7372754668628243</v>
          </cell>
          <cell r="BP46">
            <v>1.5371242966284129</v>
          </cell>
          <cell r="BQ46">
            <v>4.4559585492227853</v>
          </cell>
          <cell r="BR46">
            <v>3.3298826777087371</v>
          </cell>
          <cell r="BS46">
            <v>3.3582401068625889</v>
          </cell>
          <cell r="BT46">
            <v>3.5106520466064972</v>
          </cell>
          <cell r="BU46">
            <v>3.5136114254701449</v>
          </cell>
          <cell r="BV46">
            <v>4.0491084057332953</v>
          </cell>
          <cell r="BW46">
            <v>1.0366959764748611</v>
          </cell>
          <cell r="BX46">
            <v>2.0397121621185641</v>
          </cell>
          <cell r="BY46">
            <v>3.1148375644202857</v>
          </cell>
          <cell r="BZ46">
            <v>4.271510383335932</v>
          </cell>
          <cell r="CA46">
            <v>2.4579912534747383</v>
          </cell>
          <cell r="CB46">
            <v>4.2802443183729917</v>
          </cell>
          <cell r="CC46">
            <v>4.2154522690878071</v>
          </cell>
          <cell r="CD46">
            <v>3.6908912000060705</v>
          </cell>
          <cell r="CE46">
            <v>4.4668308313138443</v>
          </cell>
          <cell r="CF46">
            <v>4.0160657913104183</v>
          </cell>
          <cell r="CG46">
            <v>4.1610074906256873</v>
          </cell>
          <cell r="CH46">
            <v>0</v>
          </cell>
          <cell r="CI46">
            <v>0</v>
          </cell>
          <cell r="CJ46">
            <v>0</v>
          </cell>
        </row>
        <row r="47">
          <cell r="BM47">
            <v>3.9674747627318983</v>
          </cell>
          <cell r="BN47">
            <v>4.7119784982687323</v>
          </cell>
          <cell r="BO47">
            <v>5.5243380737657599</v>
          </cell>
          <cell r="BP47">
            <v>2.7742472717710207</v>
          </cell>
          <cell r="BQ47">
            <v>3.918976545842217</v>
          </cell>
          <cell r="BR47">
            <v>2.7801715294021285</v>
          </cell>
          <cell r="BS47">
            <v>2.9505120475914923</v>
          </cell>
          <cell r="BT47">
            <v>4.3275678191231437</v>
          </cell>
          <cell r="BU47">
            <v>5.1719270216013058</v>
          </cell>
          <cell r="BV47">
            <v>1.1878857111753653</v>
          </cell>
          <cell r="BW47">
            <v>-9.4869535177704745E-2</v>
          </cell>
          <cell r="BX47">
            <v>0.49334600860161565</v>
          </cell>
          <cell r="BY47">
            <v>2.303016744927016</v>
          </cell>
          <cell r="BZ47">
            <v>1.5355376192603298</v>
          </cell>
          <cell r="CA47">
            <v>3.5165051954861726</v>
          </cell>
          <cell r="CB47">
            <v>1.2489929172557943</v>
          </cell>
          <cell r="CC47">
            <v>2.5098015905924211</v>
          </cell>
          <cell r="CD47">
            <v>3.5969153893440011</v>
          </cell>
          <cell r="CE47">
            <v>2.79341592019296</v>
          </cell>
          <cell r="CF47">
            <v>2.6332530561784266</v>
          </cell>
          <cell r="CG47">
            <v>2.6088846995162478</v>
          </cell>
          <cell r="CH47">
            <v>0</v>
          </cell>
          <cell r="CI47">
            <v>0</v>
          </cell>
          <cell r="CJ47">
            <v>0</v>
          </cell>
        </row>
        <row r="48">
          <cell r="BM48">
            <v>6.52626521460604</v>
          </cell>
          <cell r="BN48">
            <v>9.9977448695782591</v>
          </cell>
          <cell r="BO48">
            <v>3.2665892161552788</v>
          </cell>
          <cell r="BP48">
            <v>1.0125074449076763</v>
          </cell>
          <cell r="BQ48">
            <v>-0.71737421383646238</v>
          </cell>
          <cell r="BR48">
            <v>0.63017585535650678</v>
          </cell>
          <cell r="BS48">
            <v>2.2852459016393341</v>
          </cell>
          <cell r="BT48">
            <v>3.137737602974664</v>
          </cell>
          <cell r="BU48">
            <v>1.8438967325835074</v>
          </cell>
          <cell r="BV48">
            <v>1.3116902259044219</v>
          </cell>
          <cell r="BW48">
            <v>-0.67658664417604275</v>
          </cell>
          <cell r="BX48">
            <v>1.5749803332162717</v>
          </cell>
          <cell r="BY48">
            <v>3.2156475900557</v>
          </cell>
          <cell r="BZ48">
            <v>3.7395764513131833</v>
          </cell>
          <cell r="CA48">
            <v>4.7065879684002452</v>
          </cell>
          <cell r="CB48">
            <v>5.4258270839175253</v>
          </cell>
          <cell r="CC48">
            <v>6.3044548496943094</v>
          </cell>
          <cell r="CD48">
            <v>6.2851802002352599</v>
          </cell>
          <cell r="CE48">
            <v>6.0255611377622209</v>
          </cell>
          <cell r="CF48">
            <v>5.7931015707685622</v>
          </cell>
          <cell r="CG48">
            <v>5.6195933436220518</v>
          </cell>
          <cell r="CH48">
            <v>0</v>
          </cell>
          <cell r="CI48">
            <v>0</v>
          </cell>
          <cell r="CJ48">
            <v>0</v>
          </cell>
        </row>
        <row r="49">
          <cell r="BM49">
            <v>7.0271957548090018</v>
          </cell>
          <cell r="BN49">
            <v>10.627050674444034</v>
          </cell>
          <cell r="BO49">
            <v>3.8227055528093663</v>
          </cell>
          <cell r="BP49">
            <v>0.11426757657512947</v>
          </cell>
          <cell r="BQ49">
            <v>-0.25680859833231207</v>
          </cell>
          <cell r="BR49">
            <v>0.30514939605846964</v>
          </cell>
          <cell r="BS49">
            <v>1.5306122448979724</v>
          </cell>
          <cell r="BT49">
            <v>3.8661943256655853</v>
          </cell>
          <cell r="BU49">
            <v>4.1455702003354116</v>
          </cell>
          <cell r="BV49">
            <v>3.2353701564233091</v>
          </cell>
          <cell r="BW49">
            <v>-0.11428641702159054</v>
          </cell>
          <cell r="BX49">
            <v>2.3099734621536254</v>
          </cell>
          <cell r="BY49">
            <v>4.1138938445435587</v>
          </cell>
          <cell r="BZ49">
            <v>4.4844478232521574</v>
          </cell>
          <cell r="CA49">
            <v>5.5079831399302996</v>
          </cell>
          <cell r="CB49">
            <v>6.10915419959671</v>
          </cell>
          <cell r="CC49">
            <v>6.6417031261018122</v>
          </cell>
          <cell r="CD49">
            <v>6.5026822405226534</v>
          </cell>
          <cell r="CE49">
            <v>6.3950589460329068</v>
          </cell>
          <cell r="CF49">
            <v>6.0347303797417577</v>
          </cell>
          <cell r="CG49">
            <v>5.8284815015203435</v>
          </cell>
          <cell r="CH49">
            <v>0</v>
          </cell>
          <cell r="CI49">
            <v>0</v>
          </cell>
        </row>
        <row r="50">
          <cell r="BM50">
            <v>5.8083898965172098</v>
          </cell>
          <cell r="BN50">
            <v>10.232411399726569</v>
          </cell>
          <cell r="BO50">
            <v>4.3026140049608763</v>
          </cell>
          <cell r="BP50">
            <v>3.0488734412627602E-2</v>
          </cell>
          <cell r="BQ50">
            <v>-0.5669176140693144</v>
          </cell>
          <cell r="BR50">
            <v>0.1747233546884184</v>
          </cell>
          <cell r="BS50">
            <v>2.0318237454100259</v>
          </cell>
          <cell r="BT50">
            <v>2.8651031669865814</v>
          </cell>
          <cell r="BU50">
            <v>2.8134360602857087</v>
          </cell>
          <cell r="BV50">
            <v>2.1064911767783507</v>
          </cell>
          <cell r="BW50">
            <v>-0.16124566301654247</v>
          </cell>
          <cell r="BX50">
            <v>1.2581952654738686</v>
          </cell>
          <cell r="BY50">
            <v>2.8191207925404953</v>
          </cell>
          <cell r="BZ50">
            <v>3.4942109597137385</v>
          </cell>
          <cell r="CA50">
            <v>4.5642205505968318</v>
          </cell>
          <cell r="CB50">
            <v>5.2902979232108853</v>
          </cell>
          <cell r="CC50">
            <v>6.484666607575738</v>
          </cell>
          <cell r="CD50">
            <v>6.5177223440706564</v>
          </cell>
          <cell r="CE50">
            <v>6.102308136530751</v>
          </cell>
          <cell r="CF50">
            <v>5.8896337938881258</v>
          </cell>
          <cell r="CG50">
            <v>5.6998445200698784</v>
          </cell>
          <cell r="CH50">
            <v>0</v>
          </cell>
          <cell r="CI50">
            <v>0</v>
          </cell>
        </row>
        <row r="51">
          <cell r="BM51">
            <v>6.6982078853046296</v>
          </cell>
          <cell r="BN51">
            <v>19.292682271371405</v>
          </cell>
          <cell r="BO51">
            <v>-2.5974318540211949</v>
          </cell>
          <cell r="BP51">
            <v>7.2993038369914691</v>
          </cell>
          <cell r="BQ51">
            <v>-0.71993619727114688</v>
          </cell>
          <cell r="BR51">
            <v>10.267265898087242</v>
          </cell>
          <cell r="BS51">
            <v>12.922343860754507</v>
          </cell>
          <cell r="BT51">
            <v>3.8488605255357182</v>
          </cell>
          <cell r="BU51">
            <v>4.2285751320218061</v>
          </cell>
          <cell r="BV51">
            <v>0.83430484449671138</v>
          </cell>
          <cell r="BW51">
            <v>6.1358031042224797</v>
          </cell>
          <cell r="BX51">
            <v>2.6892728774390484</v>
          </cell>
          <cell r="BY51">
            <v>4.7083890460065314</v>
          </cell>
          <cell r="BZ51">
            <v>6.5548976386947402</v>
          </cell>
          <cell r="CA51">
            <v>3.0113643977547175</v>
          </cell>
          <cell r="CB51">
            <v>7.1523722908178193</v>
          </cell>
          <cell r="CC51">
            <v>5.7911086936080594</v>
          </cell>
          <cell r="CD51">
            <v>2.2476264118655576</v>
          </cell>
          <cell r="CE51">
            <v>1.8441116062577299</v>
          </cell>
          <cell r="CF51">
            <v>4.3564936399748448E-2</v>
          </cell>
          <cell r="CG51">
            <v>0.27858964032382227</v>
          </cell>
          <cell r="CH51">
            <v>0</v>
          </cell>
          <cell r="CI51">
            <v>0</v>
          </cell>
        </row>
        <row r="52">
          <cell r="BM52">
            <v>2.8030602822846857</v>
          </cell>
          <cell r="BN52">
            <v>1.5557836658753943</v>
          </cell>
          <cell r="BO52">
            <v>-1.7088347705233871</v>
          </cell>
          <cell r="BP52">
            <v>-2.8665081303425688</v>
          </cell>
          <cell r="BQ52">
            <v>-2.3291206246278069</v>
          </cell>
          <cell r="BR52">
            <v>-1.8596301063613416</v>
          </cell>
          <cell r="BS52">
            <v>1.8327408276671311</v>
          </cell>
          <cell r="BT52">
            <v>3.8477833514099813</v>
          </cell>
          <cell r="BU52">
            <v>1.1650415724928038</v>
          </cell>
          <cell r="BV52">
            <v>2.6270631151356696</v>
          </cell>
          <cell r="BW52">
            <v>-2.6386884833623796</v>
          </cell>
          <cell r="BX52">
            <v>-0.13554563089746927</v>
          </cell>
          <cell r="BY52">
            <v>2.7490580080791225</v>
          </cell>
          <cell r="BZ52">
            <v>-0.47669244856732168</v>
          </cell>
          <cell r="CA52">
            <v>0.57060362192759584</v>
          </cell>
          <cell r="CB52">
            <v>4.5099436060560345</v>
          </cell>
          <cell r="CC52">
            <v>-1.3828508446310122</v>
          </cell>
          <cell r="CD52">
            <v>-1.0509961532280498</v>
          </cell>
          <cell r="CE52">
            <v>0.84927151557355285</v>
          </cell>
          <cell r="CF52">
            <v>0.88309766271869772</v>
          </cell>
          <cell r="CG52">
            <v>0.9087399774445275</v>
          </cell>
          <cell r="CH52">
            <v>0</v>
          </cell>
          <cell r="CI52">
            <v>0</v>
          </cell>
        </row>
        <row r="53">
          <cell r="BM53">
            <v>1.0252855110008401</v>
          </cell>
          <cell r="BN53">
            <v>-3.6044495810459507</v>
          </cell>
          <cell r="BO53">
            <v>-1.9445485200449431</v>
          </cell>
          <cell r="BP53">
            <v>0.68778418860569557</v>
          </cell>
          <cell r="BQ53">
            <v>-1.3092482258737808</v>
          </cell>
          <cell r="BR53">
            <v>-0.9036376220872151</v>
          </cell>
          <cell r="BS53">
            <v>1.5754142252919914</v>
          </cell>
          <cell r="BT53">
            <v>-1.7270886656224727</v>
          </cell>
          <cell r="BU53">
            <v>-1.7273925263072187</v>
          </cell>
          <cell r="BV53">
            <v>3.6335867958464676</v>
          </cell>
          <cell r="BW53">
            <v>5.3589586215105033E-2</v>
          </cell>
          <cell r="BX53">
            <v>4.4956807954477869</v>
          </cell>
          <cell r="BY53">
            <v>3.9486164016585965</v>
          </cell>
          <cell r="BZ53">
            <v>0.45660464696462522</v>
          </cell>
          <cell r="CA53">
            <v>-2.1064761240168011</v>
          </cell>
          <cell r="CB53">
            <v>-1.270932512401455</v>
          </cell>
          <cell r="CC53">
            <v>0.8074204109773756</v>
          </cell>
          <cell r="CD53">
            <v>-2.0830644215258034</v>
          </cell>
          <cell r="CE53">
            <v>-0.91947041989035683</v>
          </cell>
          <cell r="CF53">
            <v>-0.52989592267972463</v>
          </cell>
          <cell r="CG53">
            <v>-0.36391877193197891</v>
          </cell>
          <cell r="CH53">
            <v>0</v>
          </cell>
          <cell r="CI53">
            <v>0</v>
          </cell>
        </row>
        <row r="54">
          <cell r="BM54">
            <v>5.3944582527846734</v>
          </cell>
          <cell r="BN54">
            <v>0.39304742772294526</v>
          </cell>
          <cell r="BO54">
            <v>-1.8473406414941145</v>
          </cell>
          <cell r="BP54">
            <v>2.7891859949771045</v>
          </cell>
          <cell r="BQ54">
            <v>3.1992871309896929</v>
          </cell>
          <cell r="BR54">
            <v>4.3785861511893565</v>
          </cell>
          <cell r="BS54">
            <v>3.41036451940011</v>
          </cell>
          <cell r="BT54">
            <v>3.210182700247719</v>
          </cell>
          <cell r="BU54">
            <v>5.8351820594104273</v>
          </cell>
          <cell r="BV54">
            <v>-5.5004919696148242</v>
          </cell>
          <cell r="BW54">
            <v>6.845043310875834</v>
          </cell>
          <cell r="BX54">
            <v>7.1346446224837923</v>
          </cell>
          <cell r="BY54">
            <v>3.4038569139185118</v>
          </cell>
          <cell r="BZ54">
            <v>0.11096671779920622</v>
          </cell>
          <cell r="CA54">
            <v>0.37708805071385448</v>
          </cell>
          <cell r="CB54">
            <v>-5.413439302075834</v>
          </cell>
          <cell r="CC54">
            <v>-1.9374195056525334</v>
          </cell>
          <cell r="CD54">
            <v>3.4778464759084908</v>
          </cell>
          <cell r="CE54">
            <v>0.72765472128876996</v>
          </cell>
          <cell r="CF54">
            <v>2.4489483459582058</v>
          </cell>
          <cell r="CG54">
            <v>2.6178089351108507</v>
          </cell>
          <cell r="CH54">
            <v>0</v>
          </cell>
          <cell r="CI54">
            <v>0</v>
          </cell>
        </row>
        <row r="55">
          <cell r="BM55">
            <v>21.02451518477859</v>
          </cell>
          <cell r="BN55">
            <v>-2.0316846051517601</v>
          </cell>
          <cell r="BO55">
            <v>-11.208492778669296</v>
          </cell>
          <cell r="BP55">
            <v>21.013485332962624</v>
          </cell>
          <cell r="BQ55">
            <v>11.976563846286401</v>
          </cell>
          <cell r="BR55">
            <v>16.2665435518621</v>
          </cell>
          <cell r="BS55">
            <v>11.758217515993827</v>
          </cell>
          <cell r="BT55">
            <v>12.269048559020927</v>
          </cell>
          <cell r="BU55">
            <v>13.692398308586288</v>
          </cell>
          <cell r="BV55">
            <v>-24.588327937161093</v>
          </cell>
          <cell r="BW55">
            <v>15.761735099625673</v>
          </cell>
          <cell r="BX55">
            <v>22.22647774507206</v>
          </cell>
          <cell r="BY55">
            <v>5.7872412214806905</v>
          </cell>
          <cell r="BZ55">
            <v>-3.8504579579126994</v>
          </cell>
          <cell r="CA55">
            <v>-3.1953800306132001</v>
          </cell>
          <cell r="CB55">
            <v>-19.259648076419797</v>
          </cell>
          <cell r="CC55">
            <v>-12.504657985373019</v>
          </cell>
          <cell r="CD55">
            <v>10.601813015153482</v>
          </cell>
          <cell r="CE55">
            <v>-0.9527872309216775</v>
          </cell>
          <cell r="CF55">
            <v>8.1824571953445204</v>
          </cell>
          <cell r="CG55">
            <v>9.0044867099204868</v>
          </cell>
          <cell r="CH55">
            <v>0</v>
          </cell>
          <cell r="CI55">
            <v>0</v>
          </cell>
        </row>
        <row r="56">
          <cell r="BM56">
            <v>4.4538402278875679</v>
          </cell>
          <cell r="BN56">
            <v>5.0443373411316843</v>
          </cell>
          <cell r="BO56">
            <v>4.1506106720658353</v>
          </cell>
          <cell r="BP56">
            <v>2.9363810240491244</v>
          </cell>
          <cell r="BQ56">
            <v>6.762210816491308</v>
          </cell>
          <cell r="BR56">
            <v>2.8716529479735566</v>
          </cell>
          <cell r="BS56">
            <v>10.06212558242734</v>
          </cell>
          <cell r="BT56">
            <v>6.8170421328495028</v>
          </cell>
          <cell r="BU56">
            <v>3.4982905463705194</v>
          </cell>
          <cell r="BV56">
            <v>4.1517658971774445</v>
          </cell>
          <cell r="BW56">
            <v>2.528349401760321</v>
          </cell>
          <cell r="BX56">
            <v>2.4975485037655107</v>
          </cell>
          <cell r="BY56">
            <v>1.5565708709352173</v>
          </cell>
          <cell r="BZ56">
            <v>3.8392776675528797</v>
          </cell>
          <cell r="CA56">
            <v>6.2679182367254445</v>
          </cell>
          <cell r="CB56">
            <v>4.0630109196640598</v>
          </cell>
          <cell r="CC56">
            <v>3.2388593471718115</v>
          </cell>
          <cell r="CD56">
            <v>2.4761715502605943</v>
          </cell>
          <cell r="CE56">
            <v>3.5133509666623</v>
          </cell>
          <cell r="CF56">
            <v>3.1531896073344412</v>
          </cell>
          <cell r="CG56">
            <v>2.8659275169588549</v>
          </cell>
          <cell r="CH56">
            <v>0</v>
          </cell>
          <cell r="CI56">
            <v>0</v>
          </cell>
        </row>
        <row r="57">
          <cell r="BM57">
            <v>-1.3845158507655875</v>
          </cell>
          <cell r="BN57">
            <v>-1.9375437368789499</v>
          </cell>
          <cell r="BO57">
            <v>0.27652647071945247</v>
          </cell>
          <cell r="BP57">
            <v>1.2854156473780181</v>
          </cell>
          <cell r="BQ57">
            <v>2.854382575092214</v>
          </cell>
          <cell r="BR57">
            <v>2.0835112287592992</v>
          </cell>
          <cell r="BS57">
            <v>2.450857381848595</v>
          </cell>
          <cell r="BT57">
            <v>1.6288373612018372</v>
          </cell>
          <cell r="BU57">
            <v>1.8325366539465748</v>
          </cell>
          <cell r="BV57">
            <v>1.0539536377159138</v>
          </cell>
          <cell r="BW57">
            <v>2.8743012834524868</v>
          </cell>
          <cell r="BX57">
            <v>0.47998937572926231</v>
          </cell>
          <cell r="BY57">
            <v>1.3324522067500448</v>
          </cell>
          <cell r="BZ57">
            <v>-1.9358577332573068</v>
          </cell>
          <cell r="CA57">
            <v>0.6904144196593478</v>
          </cell>
          <cell r="CB57">
            <v>2.2513700964398402</v>
          </cell>
          <cell r="CC57">
            <v>1.0387246224463627</v>
          </cell>
          <cell r="CD57">
            <v>5.7249903627931566E-2</v>
          </cell>
          <cell r="CE57">
            <v>0.74198893403273025</v>
          </cell>
          <cell r="CF57">
            <v>0.6708038752499822</v>
          </cell>
          <cell r="CG57">
            <v>0.70588299669475352</v>
          </cell>
          <cell r="CH57">
            <v>0</v>
          </cell>
          <cell r="CI57">
            <v>0</v>
          </cell>
        </row>
        <row r="58">
          <cell r="BM58">
            <v>2.1640865634625075</v>
          </cell>
          <cell r="BN58">
            <v>1.2333594361785705</v>
          </cell>
          <cell r="BO58">
            <v>2.1929994198413945</v>
          </cell>
          <cell r="BP58">
            <v>2.9293770342896286</v>
          </cell>
          <cell r="BQ58">
            <v>1.5737608471834204</v>
          </cell>
          <cell r="BR58">
            <v>3.7648421662322571</v>
          </cell>
          <cell r="BS58">
            <v>3.5200948925481432</v>
          </cell>
          <cell r="BT58">
            <v>2.6025005897617302</v>
          </cell>
          <cell r="BU58">
            <v>5.0067268315178346</v>
          </cell>
          <cell r="BV58">
            <v>4.0398754439771745</v>
          </cell>
          <cell r="BW58">
            <v>2.714614197735008</v>
          </cell>
          <cell r="BX58">
            <v>0.59829077341375603</v>
          </cell>
          <cell r="BY58">
            <v>0.17548101613137809</v>
          </cell>
          <cell r="BZ58">
            <v>-9.5559809112401584E-3</v>
          </cell>
          <cell r="CA58">
            <v>-0.73933759975554247</v>
          </cell>
          <cell r="CB58">
            <v>0.53182694392797758</v>
          </cell>
          <cell r="CC58">
            <v>-4.0113388731331169E-2</v>
          </cell>
          <cell r="CD58">
            <v>-1.2923289005462577</v>
          </cell>
          <cell r="CE58">
            <v>1.3028524893102555</v>
          </cell>
          <cell r="CF58">
            <v>0.45572267457951904</v>
          </cell>
          <cell r="CG58">
            <v>0.35563001026987417</v>
          </cell>
          <cell r="CH58">
            <v>0</v>
          </cell>
          <cell r="CI58">
            <v>0</v>
          </cell>
        </row>
        <row r="59">
          <cell r="BM59">
            <v>4.221061792863348</v>
          </cell>
          <cell r="BN59">
            <v>4.1840040313872349</v>
          </cell>
          <cell r="BO59">
            <v>3.0209643316150827</v>
          </cell>
          <cell r="BP59">
            <v>3.629924745462624</v>
          </cell>
          <cell r="BQ59">
            <v>1.8394107672193829</v>
          </cell>
          <cell r="BR59">
            <v>2.5510333782444041</v>
          </cell>
          <cell r="BS59">
            <v>2.5272368959234188</v>
          </cell>
          <cell r="BT59">
            <v>2.5216150870406384</v>
          </cell>
          <cell r="BU59">
            <v>4.2426657208203116</v>
          </cell>
          <cell r="BV59">
            <v>4.8396388802260022</v>
          </cell>
          <cell r="BW59">
            <v>0.99027495421456324</v>
          </cell>
          <cell r="BX59">
            <v>0.3671468475210754</v>
          </cell>
          <cell r="BY59">
            <v>1.9292066107609127</v>
          </cell>
          <cell r="BZ59">
            <v>2.8084561026198069</v>
          </cell>
          <cell r="CA59">
            <v>4.4647065420196137</v>
          </cell>
          <cell r="CB59">
            <v>0.54138077964045916</v>
          </cell>
          <cell r="CC59">
            <v>0.8615488769070675</v>
          </cell>
          <cell r="CD59">
            <v>2.5958963175839487</v>
          </cell>
          <cell r="CE59">
            <v>3.2059106842899578</v>
          </cell>
          <cell r="CF59">
            <v>3.2105328941578715</v>
          </cell>
          <cell r="CG59">
            <v>3.1921777415392936</v>
          </cell>
          <cell r="CH59">
            <v>0</v>
          </cell>
          <cell r="CI59">
            <v>0</v>
          </cell>
        </row>
        <row r="60">
          <cell r="BM60">
            <v>4.3998618102852678</v>
          </cell>
          <cell r="BN60">
            <v>5.3655423452383655</v>
          </cell>
          <cell r="BO60">
            <v>1.6510756668237117</v>
          </cell>
          <cell r="BP60">
            <v>1.9067375808266913</v>
          </cell>
          <cell r="BQ60">
            <v>1.3751434696927238</v>
          </cell>
          <cell r="BR60">
            <v>2.0806630778432749</v>
          </cell>
          <cell r="BS60">
            <v>2.9192650567111706</v>
          </cell>
          <cell r="BT60">
            <v>3.1471503222789234</v>
          </cell>
          <cell r="BU60">
            <v>3.3473490403873103</v>
          </cell>
          <cell r="BV60">
            <v>0.54988977980186238</v>
          </cell>
          <cell r="BW60">
            <v>1.8110350039722709</v>
          </cell>
          <cell r="BX60">
            <v>3.0022442768146513</v>
          </cell>
          <cell r="BY60">
            <v>2.9349606511441975</v>
          </cell>
          <cell r="BZ60">
            <v>2.1205149829632965</v>
          </cell>
          <cell r="CA60">
            <v>2.5608893985711161</v>
          </cell>
          <cell r="CB60">
            <v>2.2259314928147509</v>
          </cell>
          <cell r="CC60">
            <v>2.7613933450023298</v>
          </cell>
          <cell r="CD60">
            <v>3.3348226578977069</v>
          </cell>
          <cell r="CE60">
            <v>3.7769303372324163</v>
          </cell>
          <cell r="CF60">
            <v>3.5449774310585616</v>
          </cell>
          <cell r="CG60">
            <v>3.4825000303675662</v>
          </cell>
          <cell r="CH60">
            <v>0</v>
          </cell>
          <cell r="CI60">
            <v>0</v>
          </cell>
        </row>
        <row r="61">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row>
        <row r="62">
          <cell r="BM62">
            <v>3.6495808916252539</v>
          </cell>
          <cell r="BN62">
            <v>4.064982466184798</v>
          </cell>
          <cell r="BO62">
            <v>2.3542626596061562</v>
          </cell>
          <cell r="BP62">
            <v>2.3225083986562112</v>
          </cell>
          <cell r="BQ62">
            <v>2.60030205528926</v>
          </cell>
          <cell r="BR62">
            <v>3.7141333333333164</v>
          </cell>
          <cell r="BS62">
            <v>3.8588119137732706</v>
          </cell>
          <cell r="BT62">
            <v>3.3469460508595263</v>
          </cell>
          <cell r="BU62">
            <v>3.3955042683349825</v>
          </cell>
          <cell r="BV62">
            <v>-0.31045090816620768</v>
          </cell>
          <cell r="BW62">
            <v>1.2536282486909365</v>
          </cell>
          <cell r="BX62">
            <v>2.6494035316566706</v>
          </cell>
          <cell r="BY62">
            <v>2.2429031200942027</v>
          </cell>
          <cell r="BZ62">
            <v>1.4559120182373888</v>
          </cell>
          <cell r="CA62">
            <v>1.8345402768020418</v>
          </cell>
          <cell r="CB62">
            <v>1.4551261318165163</v>
          </cell>
          <cell r="CC62">
            <v>2.2806888701208021</v>
          </cell>
          <cell r="CD62">
            <v>3.0474558761930979</v>
          </cell>
          <cell r="CE62">
            <v>2.9337178577587326</v>
          </cell>
          <cell r="CF62">
            <v>2.8923243065793911</v>
          </cell>
          <cell r="CG62">
            <v>2.858173351919282</v>
          </cell>
          <cell r="CH62">
            <v>0</v>
          </cell>
          <cell r="CI62">
            <v>0</v>
          </cell>
        </row>
        <row r="63">
          <cell r="BM63">
            <v>3.2620022630785885</v>
          </cell>
          <cell r="BN63">
            <v>3.6334940775028106</v>
          </cell>
          <cell r="BO63">
            <v>2.7256081239111869</v>
          </cell>
          <cell r="BP63">
            <v>1.6175207681892596</v>
          </cell>
          <cell r="BQ63">
            <v>2.1096994291697171</v>
          </cell>
          <cell r="BR63">
            <v>3.0921577649561396</v>
          </cell>
          <cell r="BS63">
            <v>3.4246555941544319</v>
          </cell>
          <cell r="BT63">
            <v>2.98178580063994</v>
          </cell>
          <cell r="BU63">
            <v>2.4651517972136707</v>
          </cell>
          <cell r="BV63">
            <v>1.3057764581300257</v>
          </cell>
          <cell r="BW63">
            <v>0.51459740073413107</v>
          </cell>
          <cell r="BX63">
            <v>1.3224371907877017</v>
          </cell>
          <cell r="BY63">
            <v>2.1071576300101129</v>
          </cell>
          <cell r="BZ63">
            <v>1.6151018303595783</v>
          </cell>
          <cell r="CA63">
            <v>2.0756916720872431</v>
          </cell>
          <cell r="CB63">
            <v>2.3508497615591377</v>
          </cell>
          <cell r="CC63">
            <v>3.2168423816522287</v>
          </cell>
          <cell r="CD63">
            <v>3.0413218612227797</v>
          </cell>
          <cell r="CE63">
            <v>3.0445588055863357</v>
          </cell>
          <cell r="CF63">
            <v>2.6253279465470607</v>
          </cell>
          <cell r="CG63">
            <v>2.5675544870389713</v>
          </cell>
          <cell r="CH63">
            <v>0</v>
          </cell>
          <cell r="CI63">
            <v>0</v>
          </cell>
        </row>
        <row r="64">
          <cell r="BM64">
            <v>19.775739041794068</v>
          </cell>
          <cell r="BN64">
            <v>-0.54337152209492334</v>
          </cell>
          <cell r="BO64">
            <v>-6.3191153238546818</v>
          </cell>
          <cell r="BP64">
            <v>20.882518268690305</v>
          </cell>
          <cell r="BQ64">
            <v>15.0430132527319</v>
          </cell>
          <cell r="BR64">
            <v>15.647736459175446</v>
          </cell>
          <cell r="BS64">
            <v>12.918869325877051</v>
          </cell>
          <cell r="BT64">
            <v>8.923895380329661</v>
          </cell>
          <cell r="BU64">
            <v>14.654913050258097</v>
          </cell>
          <cell r="BV64">
            <v>-23.82896934431577</v>
          </cell>
          <cell r="BW64">
            <v>15.393650939555339</v>
          </cell>
          <cell r="BX64">
            <v>23.276037391162461</v>
          </cell>
          <cell r="BY64">
            <v>5.8198749683703976</v>
          </cell>
          <cell r="BZ64">
            <v>-3.3038049037763675</v>
          </cell>
          <cell r="CA64">
            <v>-4.0468705903391848</v>
          </cell>
          <cell r="CB64">
            <v>-15.88777507956557</v>
          </cell>
          <cell r="CC64">
            <v>-14.222223453207869</v>
          </cell>
          <cell r="CD64">
            <v>10.44949717292095</v>
          </cell>
          <cell r="CE64">
            <v>-0.73611643979737285</v>
          </cell>
          <cell r="CF64">
            <v>8.062986629012233</v>
          </cell>
          <cell r="CG64">
            <v>9.0023641033392483</v>
          </cell>
          <cell r="CH64">
            <v>0</v>
          </cell>
          <cell r="CI64">
            <v>0</v>
          </cell>
        </row>
        <row r="65">
          <cell r="BM65">
            <v>3.5648243271008822</v>
          </cell>
          <cell r="BN65">
            <v>3.9976192838012112</v>
          </cell>
          <cell r="BO65">
            <v>2.4084318962228211</v>
          </cell>
          <cell r="BP65">
            <v>2.6568248498113727</v>
          </cell>
          <cell r="BQ65">
            <v>2.8058157733572267</v>
          </cell>
          <cell r="BR65">
            <v>3.7287088518224292</v>
          </cell>
          <cell r="BS65">
            <v>3.6988982005360271</v>
          </cell>
          <cell r="BT65">
            <v>3.3169651098393942</v>
          </cell>
          <cell r="BU65">
            <v>3.7037037037036771</v>
          </cell>
          <cell r="BV65">
            <v>-0.62309900052987999</v>
          </cell>
          <cell r="BW65">
            <v>1.5816930006048817</v>
          </cell>
          <cell r="BX65">
            <v>3.0269710983579756</v>
          </cell>
          <cell r="BY65">
            <v>2.3176141992386179</v>
          </cell>
          <cell r="BZ65">
            <v>1.4408529262130436</v>
          </cell>
          <cell r="CA65">
            <v>1.7079335398095672</v>
          </cell>
          <cell r="CB65">
            <v>1.112004254540067</v>
          </cell>
          <cell r="CC65">
            <v>1.8943496129560244</v>
          </cell>
          <cell r="CD65">
            <v>3.0269398879222256</v>
          </cell>
          <cell r="CE65">
            <v>3.0227500462834285</v>
          </cell>
          <cell r="CF65">
            <v>2.9294040174637317</v>
          </cell>
          <cell r="CG65">
            <v>2.9028321841702636</v>
          </cell>
          <cell r="CH65">
            <v>0</v>
          </cell>
          <cell r="CI65">
            <v>0</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71">
          <cell r="H71">
            <v>0.01</v>
          </cell>
        </row>
      </sheetData>
      <sheetData sheetId="42"/>
      <sheetData sheetId="43">
        <row r="71">
          <cell r="H71">
            <v>0.03</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 2.6.1"/>
      <sheetName val="Exhibit 2.6.2"/>
      <sheetName val="Exhibit 3.1"/>
      <sheetName val="Exhibit 3.2"/>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2"/>
      <sheetName val="Exhibit 7.3"/>
      <sheetName val="Exhibit 7.4"/>
      <sheetName val="Exhibit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8">
          <cell r="L38">
            <v>2.5000000000000001E-2</v>
          </cell>
        </row>
      </sheetData>
      <sheetData sheetId="25"/>
      <sheetData sheetId="26">
        <row r="43">
          <cell r="A43">
            <v>42826</v>
          </cell>
        </row>
      </sheetData>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s 2.5.3 - 2.5.8"/>
      <sheetName val="Exhibits 2.5.9 - 2.5.12"/>
      <sheetName val="Exhibit 2.6.1"/>
      <sheetName val="Exhibit 2.6.2"/>
      <sheetName val="Exhibits 2.6.3 - 2.6.8"/>
      <sheetName val="Exhibit 3.1"/>
      <sheetName val="Exhibit 3.2"/>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3"/>
      <sheetName val="Exhibit 8"/>
    </sheetNames>
    <sheetDataSet>
      <sheetData sheetId="0" refreshError="1"/>
      <sheetData sheetId="1" refreshError="1"/>
      <sheetData sheetId="2" refreshError="1"/>
      <sheetData sheetId="3" refreshError="1"/>
      <sheetData sheetId="4" refreshError="1"/>
      <sheetData sheetId="5" refreshError="1"/>
      <sheetData sheetId="6"/>
      <sheetData sheetId="7">
        <row r="69">
          <cell r="A69">
            <v>2021</v>
          </cell>
        </row>
        <row r="70">
          <cell r="A70">
            <v>2020</v>
          </cell>
        </row>
        <row r="71">
          <cell r="A71">
            <v>2019</v>
          </cell>
        </row>
        <row r="72">
          <cell r="A72">
            <v>2018</v>
          </cell>
        </row>
        <row r="73">
          <cell r="A73">
            <v>2017</v>
          </cell>
        </row>
        <row r="74">
          <cell r="A74">
            <v>2016</v>
          </cell>
        </row>
      </sheetData>
      <sheetData sheetId="8" refreshError="1"/>
      <sheetData sheetId="9"/>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47"/>
  <sheetViews>
    <sheetView zoomScaleNormal="100" zoomScaleSheetLayoutView="85" workbookViewId="0"/>
  </sheetViews>
  <sheetFormatPr defaultColWidth="9.1796875" defaultRowHeight="12.5"/>
  <cols>
    <col min="1" max="1" width="8" style="56" customWidth="1"/>
    <col min="2" max="3" width="14" style="56" customWidth="1"/>
    <col min="4" max="4" width="13.81640625" style="56" bestFit="1" customWidth="1"/>
    <col min="5" max="5" width="13.81640625" style="56" customWidth="1"/>
    <col min="6" max="6" width="14" style="56" bestFit="1" customWidth="1"/>
    <col min="7" max="7" width="14.81640625" style="56" bestFit="1" customWidth="1"/>
    <col min="8" max="8" width="14.1796875" style="56" customWidth="1"/>
    <col min="9" max="9" width="6.81640625" style="56" customWidth="1"/>
    <col min="10" max="16384" width="9.1796875" style="56"/>
  </cols>
  <sheetData>
    <row r="1" spans="1:9" ht="18" customHeight="1">
      <c r="A1" s="165" t="s">
        <v>0</v>
      </c>
      <c r="B1" s="165"/>
      <c r="C1" s="165"/>
      <c r="D1" s="165"/>
      <c r="E1" s="165"/>
      <c r="F1" s="165"/>
      <c r="G1" s="165"/>
      <c r="H1" s="165"/>
      <c r="I1" s="165"/>
    </row>
    <row r="2" spans="1:9" ht="18" customHeight="1">
      <c r="A2" s="165" t="s">
        <v>506</v>
      </c>
      <c r="B2" s="165"/>
      <c r="C2" s="165"/>
      <c r="D2" s="165"/>
      <c r="E2" s="165"/>
      <c r="F2" s="165"/>
      <c r="G2" s="165"/>
      <c r="H2" s="165"/>
      <c r="I2" s="165"/>
    </row>
    <row r="3" spans="1:9" ht="18" customHeight="1">
      <c r="A3" s="213"/>
      <c r="B3" s="213"/>
      <c r="C3" s="213"/>
      <c r="D3" s="213"/>
      <c r="E3" s="213"/>
      <c r="F3" s="213"/>
      <c r="G3" s="213"/>
      <c r="H3" s="213"/>
      <c r="I3" s="2"/>
    </row>
    <row r="4" spans="1:9" ht="18" customHeight="1">
      <c r="A4" s="3"/>
      <c r="B4" s="213" t="s">
        <v>1</v>
      </c>
      <c r="C4" s="213" t="s">
        <v>2</v>
      </c>
      <c r="D4" s="213" t="s">
        <v>3</v>
      </c>
      <c r="E4" s="213" t="s">
        <v>4</v>
      </c>
      <c r="F4" s="213" t="s">
        <v>5</v>
      </c>
      <c r="G4" s="213"/>
      <c r="H4" s="213" t="s">
        <v>6</v>
      </c>
      <c r="I4" s="54" t="s">
        <v>7</v>
      </c>
    </row>
    <row r="5" spans="1:9" ht="15" customHeight="1">
      <c r="A5" s="216" t="s">
        <v>8</v>
      </c>
      <c r="B5" s="216" t="s">
        <v>9</v>
      </c>
      <c r="C5" s="216" t="s">
        <v>3</v>
      </c>
      <c r="D5" s="216" t="s">
        <v>10</v>
      </c>
      <c r="E5" s="129" t="s">
        <v>308</v>
      </c>
      <c r="F5" s="216" t="s">
        <v>10</v>
      </c>
      <c r="G5" s="216" t="s">
        <v>15</v>
      </c>
      <c r="H5" s="216" t="s">
        <v>16</v>
      </c>
      <c r="I5" s="55" t="s">
        <v>11</v>
      </c>
    </row>
    <row r="6" spans="1:9" ht="15" customHeight="1">
      <c r="A6" s="60">
        <f t="shared" ref="A6:A40" si="0">A7-1</f>
        <v>1987</v>
      </c>
      <c r="B6" s="398">
        <v>4373802923</v>
      </c>
      <c r="C6" s="398">
        <v>1508827724</v>
      </c>
      <c r="D6" s="398">
        <v>5601158</v>
      </c>
      <c r="E6" s="398">
        <v>1344446941</v>
      </c>
      <c r="F6" s="398">
        <v>35846095</v>
      </c>
      <c r="G6" s="398">
        <v>17550134</v>
      </c>
      <c r="H6" s="398">
        <v>2912272052</v>
      </c>
      <c r="I6" s="399">
        <f t="shared" ref="I6:I38" si="1">+H6/B6</f>
        <v>0.66584437005279307</v>
      </c>
    </row>
    <row r="7" spans="1:9" ht="15" customHeight="1">
      <c r="A7" s="60">
        <f t="shared" si="0"/>
        <v>1988</v>
      </c>
      <c r="B7" s="398">
        <v>5172689663</v>
      </c>
      <c r="C7" s="398">
        <v>1706640415</v>
      </c>
      <c r="D7" s="398">
        <v>5609859</v>
      </c>
      <c r="E7" s="398">
        <v>1553355707</v>
      </c>
      <c r="F7" s="398">
        <v>23784604</v>
      </c>
      <c r="G7" s="398">
        <v>68224953</v>
      </c>
      <c r="H7" s="398">
        <v>3357615538</v>
      </c>
      <c r="I7" s="399">
        <f t="shared" si="1"/>
        <v>0.64910438413053506</v>
      </c>
    </row>
    <row r="8" spans="1:9" ht="16.399999999999999" customHeight="1">
      <c r="A8" s="60">
        <f t="shared" si="0"/>
        <v>1989</v>
      </c>
      <c r="B8" s="398">
        <v>5675354099</v>
      </c>
      <c r="C8" s="398">
        <v>1943062835</v>
      </c>
      <c r="D8" s="398">
        <v>5137690</v>
      </c>
      <c r="E8" s="398">
        <v>1813252230</v>
      </c>
      <c r="F8" s="398">
        <v>32297036</v>
      </c>
      <c r="G8" s="398">
        <v>44842839</v>
      </c>
      <c r="H8" s="398">
        <v>3838592630</v>
      </c>
      <c r="I8" s="399">
        <f t="shared" si="1"/>
        <v>0.67636178519263879</v>
      </c>
    </row>
    <row r="9" spans="1:9" ht="16.399999999999999" customHeight="1">
      <c r="A9" s="60">
        <f t="shared" si="0"/>
        <v>1990</v>
      </c>
      <c r="B9" s="398">
        <v>5704833514</v>
      </c>
      <c r="C9" s="398">
        <v>2264318028</v>
      </c>
      <c r="D9" s="398">
        <v>5053958</v>
      </c>
      <c r="E9" s="398">
        <v>2058068002</v>
      </c>
      <c r="F9" s="398">
        <v>26197938</v>
      </c>
      <c r="G9" s="398">
        <v>62124243</v>
      </c>
      <c r="H9" s="398">
        <v>4415762169</v>
      </c>
      <c r="I9" s="399">
        <f t="shared" si="1"/>
        <v>0.77403874419182572</v>
      </c>
    </row>
    <row r="10" spans="1:9" ht="16.399999999999999" customHeight="1">
      <c r="A10" s="60">
        <f t="shared" si="0"/>
        <v>1991</v>
      </c>
      <c r="B10" s="398">
        <v>5866830467</v>
      </c>
      <c r="C10" s="398">
        <v>2487031503</v>
      </c>
      <c r="D10" s="398">
        <v>12187582</v>
      </c>
      <c r="E10" s="398">
        <v>2216991466</v>
      </c>
      <c r="F10" s="398">
        <v>35616736</v>
      </c>
      <c r="G10" s="398">
        <v>56528925</v>
      </c>
      <c r="H10" s="398">
        <v>4808356212</v>
      </c>
      <c r="I10" s="399">
        <f t="shared" si="1"/>
        <v>0.81958328931545721</v>
      </c>
    </row>
    <row r="11" spans="1:9" ht="16.399999999999999" customHeight="1">
      <c r="A11" s="60">
        <f t="shared" si="0"/>
        <v>1992</v>
      </c>
      <c r="B11" s="398">
        <v>5685646721</v>
      </c>
      <c r="C11" s="398">
        <v>1984040967</v>
      </c>
      <c r="D11" s="398">
        <v>11170804</v>
      </c>
      <c r="E11" s="398">
        <v>1778181447</v>
      </c>
      <c r="F11" s="398">
        <v>34647914</v>
      </c>
      <c r="G11" s="398">
        <v>52395838</v>
      </c>
      <c r="H11" s="398">
        <v>3860436970</v>
      </c>
      <c r="I11" s="399">
        <f t="shared" si="1"/>
        <v>0.67897939485783254</v>
      </c>
    </row>
    <row r="12" spans="1:9" ht="16.399999999999999" customHeight="1">
      <c r="A12" s="60">
        <f t="shared" si="0"/>
        <v>1993</v>
      </c>
      <c r="B12" s="398">
        <v>5935051898</v>
      </c>
      <c r="C12" s="398">
        <v>1698655360</v>
      </c>
      <c r="D12" s="398">
        <v>8887480</v>
      </c>
      <c r="E12" s="398">
        <v>1527171582</v>
      </c>
      <c r="F12" s="398">
        <v>43828326</v>
      </c>
      <c r="G12" s="398">
        <v>55802501</v>
      </c>
      <c r="H12" s="398">
        <v>3334345249</v>
      </c>
      <c r="I12" s="399">
        <f t="shared" si="1"/>
        <v>0.56180557580694634</v>
      </c>
    </row>
    <row r="13" spans="1:9" ht="16.399999999999999" customHeight="1">
      <c r="A13" s="60">
        <f t="shared" si="0"/>
        <v>1994</v>
      </c>
      <c r="B13" s="398">
        <v>5031286773</v>
      </c>
      <c r="C13" s="398">
        <v>1635013894</v>
      </c>
      <c r="D13" s="398">
        <v>15004929</v>
      </c>
      <c r="E13" s="398">
        <v>1485877139</v>
      </c>
      <c r="F13" s="398">
        <v>58840751</v>
      </c>
      <c r="G13" s="398">
        <v>39377572</v>
      </c>
      <c r="H13" s="398">
        <v>3234114285</v>
      </c>
      <c r="I13" s="399">
        <f t="shared" si="1"/>
        <v>0.6428006255488391</v>
      </c>
    </row>
    <row r="14" spans="1:9" ht="16.399999999999999" customHeight="1">
      <c r="A14" s="60">
        <f t="shared" si="0"/>
        <v>1995</v>
      </c>
      <c r="B14" s="398">
        <v>3789372110</v>
      </c>
      <c r="C14" s="398">
        <v>1774395589</v>
      </c>
      <c r="D14" s="398">
        <v>19878818</v>
      </c>
      <c r="E14" s="398">
        <v>1648561638</v>
      </c>
      <c r="F14" s="398">
        <v>70611144</v>
      </c>
      <c r="G14" s="398">
        <v>38493683</v>
      </c>
      <c r="H14" s="398">
        <v>3551940872</v>
      </c>
      <c r="I14" s="399">
        <f t="shared" si="1"/>
        <v>0.93734285493540515</v>
      </c>
    </row>
    <row r="15" spans="1:9" ht="16.399999999999999" customHeight="1">
      <c r="A15" s="60">
        <f t="shared" si="0"/>
        <v>1996</v>
      </c>
      <c r="B15" s="398">
        <v>3746680214</v>
      </c>
      <c r="C15" s="398">
        <v>1968084824</v>
      </c>
      <c r="D15" s="398">
        <v>23382303</v>
      </c>
      <c r="E15" s="398">
        <v>1745119388</v>
      </c>
      <c r="F15" s="398">
        <v>68013643</v>
      </c>
      <c r="G15" s="398">
        <v>57200068</v>
      </c>
      <c r="H15" s="398">
        <v>3861800226</v>
      </c>
      <c r="I15" s="399">
        <f t="shared" si="1"/>
        <v>1.0307258707508151</v>
      </c>
    </row>
    <row r="16" spans="1:9" ht="16.399999999999999" customHeight="1">
      <c r="A16" s="60">
        <f t="shared" si="0"/>
        <v>1997</v>
      </c>
      <c r="B16" s="398">
        <v>3926898608</v>
      </c>
      <c r="C16" s="398">
        <v>2334256494</v>
      </c>
      <c r="D16" s="398">
        <v>26340958</v>
      </c>
      <c r="E16" s="398">
        <v>2047344117</v>
      </c>
      <c r="F16" s="398">
        <v>87213612</v>
      </c>
      <c r="G16" s="398">
        <v>97255766</v>
      </c>
      <c r="H16" s="398">
        <v>4592410947</v>
      </c>
      <c r="I16" s="399">
        <f t="shared" si="1"/>
        <v>1.1694753049249089</v>
      </c>
    </row>
    <row r="17" spans="1:9" ht="16.399999999999999" customHeight="1">
      <c r="A17" s="60">
        <f t="shared" si="0"/>
        <v>1998</v>
      </c>
      <c r="B17" s="398">
        <v>4332127034</v>
      </c>
      <c r="C17" s="398">
        <v>2790194894</v>
      </c>
      <c r="D17" s="398">
        <v>34809837</v>
      </c>
      <c r="E17" s="398">
        <v>2699110298</v>
      </c>
      <c r="F17" s="398">
        <v>150543509</v>
      </c>
      <c r="G17" s="398">
        <v>171844024</v>
      </c>
      <c r="H17" s="398">
        <v>5846502562</v>
      </c>
      <c r="I17" s="399">
        <f t="shared" si="1"/>
        <v>1.349568587466311</v>
      </c>
    </row>
    <row r="18" spans="1:9" ht="16.399999999999999" customHeight="1">
      <c r="A18" s="60">
        <f t="shared" si="0"/>
        <v>1999</v>
      </c>
      <c r="B18" s="398">
        <v>4550437880</v>
      </c>
      <c r="C18" s="398">
        <v>3067635112</v>
      </c>
      <c r="D18" s="398">
        <v>35505743</v>
      </c>
      <c r="E18" s="398">
        <v>3093844769</v>
      </c>
      <c r="F18" s="398">
        <v>111049117</v>
      </c>
      <c r="G18" s="398">
        <v>238716083</v>
      </c>
      <c r="H18" s="398">
        <v>6546750824</v>
      </c>
      <c r="I18" s="399">
        <f t="shared" si="1"/>
        <v>1.4387078774933193</v>
      </c>
    </row>
    <row r="19" spans="1:9" ht="16.399999999999999" customHeight="1">
      <c r="A19" s="60">
        <f t="shared" si="0"/>
        <v>2000</v>
      </c>
      <c r="B19" s="398">
        <v>5920961162</v>
      </c>
      <c r="C19" s="398">
        <v>3451317921</v>
      </c>
      <c r="D19" s="398">
        <v>47655943</v>
      </c>
      <c r="E19" s="398">
        <v>3626756530</v>
      </c>
      <c r="F19" s="398">
        <v>147852613</v>
      </c>
      <c r="G19" s="398">
        <v>367561277</v>
      </c>
      <c r="H19" s="398">
        <v>7641144284</v>
      </c>
      <c r="I19" s="399">
        <f t="shared" si="1"/>
        <v>1.2905243042362655</v>
      </c>
    </row>
    <row r="20" spans="1:9" ht="16.399999999999999" customHeight="1">
      <c r="A20" s="60">
        <f t="shared" si="0"/>
        <v>2001</v>
      </c>
      <c r="B20" s="398">
        <v>10108322683</v>
      </c>
      <c r="C20" s="398">
        <v>4882044908</v>
      </c>
      <c r="D20" s="398">
        <v>63231538</v>
      </c>
      <c r="E20" s="398">
        <v>5459760534</v>
      </c>
      <c r="F20" s="398">
        <v>237567574</v>
      </c>
      <c r="G20" s="398">
        <v>582626253</v>
      </c>
      <c r="H20" s="398">
        <v>11225230807</v>
      </c>
      <c r="I20" s="399">
        <f t="shared" si="1"/>
        <v>1.1104939126922013</v>
      </c>
    </row>
    <row r="21" spans="1:9" ht="16.399999999999999" customHeight="1">
      <c r="A21" s="60">
        <f t="shared" si="0"/>
        <v>2002</v>
      </c>
      <c r="B21" s="398">
        <v>13309435814</v>
      </c>
      <c r="C21" s="398">
        <v>4786293215</v>
      </c>
      <c r="D21" s="398">
        <v>64783785</v>
      </c>
      <c r="E21" s="398">
        <v>5547596319</v>
      </c>
      <c r="F21" s="398">
        <v>214238793</v>
      </c>
      <c r="G21" s="398">
        <v>816057574</v>
      </c>
      <c r="H21" s="398">
        <v>11428969686</v>
      </c>
      <c r="I21" s="399">
        <f t="shared" si="1"/>
        <v>0.85871180760179444</v>
      </c>
    </row>
    <row r="22" spans="1:9" ht="16.399999999999999" customHeight="1">
      <c r="A22" s="60">
        <f t="shared" si="0"/>
        <v>2003</v>
      </c>
      <c r="B22" s="398">
        <v>19280128929</v>
      </c>
      <c r="C22" s="398">
        <v>4575189097</v>
      </c>
      <c r="D22" s="398">
        <v>109259600</v>
      </c>
      <c r="E22" s="398">
        <v>5129636325</v>
      </c>
      <c r="F22" s="398">
        <v>231128766</v>
      </c>
      <c r="G22" s="398">
        <v>1192155883</v>
      </c>
      <c r="H22" s="398">
        <v>11237369671</v>
      </c>
      <c r="I22" s="399">
        <f t="shared" si="1"/>
        <v>0.58284722640508024</v>
      </c>
    </row>
    <row r="23" spans="1:9" ht="16.399999999999999" customHeight="1">
      <c r="A23" s="60">
        <f t="shared" si="0"/>
        <v>2004</v>
      </c>
      <c r="B23" s="398">
        <v>23014791568</v>
      </c>
      <c r="C23" s="398">
        <v>3245368019</v>
      </c>
      <c r="D23" s="398">
        <v>92171849</v>
      </c>
      <c r="E23" s="398">
        <v>4129332816</v>
      </c>
      <c r="F23" s="398">
        <v>188031048</v>
      </c>
      <c r="G23" s="398">
        <v>1303088743</v>
      </c>
      <c r="H23" s="398">
        <v>8957992475</v>
      </c>
      <c r="I23" s="399">
        <f t="shared" si="1"/>
        <v>0.38922761687988883</v>
      </c>
    </row>
    <row r="24" spans="1:9" ht="16.399999999999999" customHeight="1">
      <c r="A24" s="60">
        <f t="shared" si="0"/>
        <v>2005</v>
      </c>
      <c r="B24" s="398">
        <v>21384360071</v>
      </c>
      <c r="C24" s="398">
        <v>2576952867</v>
      </c>
      <c r="D24" s="398">
        <v>79397151</v>
      </c>
      <c r="E24" s="398">
        <v>3741994011</v>
      </c>
      <c r="F24" s="398">
        <v>164860218</v>
      </c>
      <c r="G24" s="398">
        <v>1055508265</v>
      </c>
      <c r="H24" s="398">
        <v>7618712512</v>
      </c>
      <c r="I24" s="399">
        <f t="shared" si="1"/>
        <v>0.35627498259028917</v>
      </c>
    </row>
    <row r="25" spans="1:9" ht="16.399999999999999" customHeight="1">
      <c r="A25" s="60">
        <f t="shared" si="0"/>
        <v>2006</v>
      </c>
      <c r="B25" s="398">
        <v>17221780296</v>
      </c>
      <c r="C25" s="398">
        <v>2669062931</v>
      </c>
      <c r="D25" s="398">
        <v>80946922</v>
      </c>
      <c r="E25" s="398">
        <v>3859761469</v>
      </c>
      <c r="F25" s="398">
        <v>204190981</v>
      </c>
      <c r="G25" s="398">
        <v>696547427</v>
      </c>
      <c r="H25" s="398">
        <v>7510509730</v>
      </c>
      <c r="I25" s="399">
        <f t="shared" si="1"/>
        <v>0.43610530391822622</v>
      </c>
    </row>
    <row r="26" spans="1:9" ht="16.399999999999999" customHeight="1">
      <c r="A26" s="60">
        <f t="shared" si="0"/>
        <v>2007</v>
      </c>
      <c r="B26" s="398">
        <v>13260139026</v>
      </c>
      <c r="C26" s="398">
        <v>2819442190</v>
      </c>
      <c r="D26" s="398">
        <v>92112879</v>
      </c>
      <c r="E26" s="398">
        <v>4132405631</v>
      </c>
      <c r="F26" s="398">
        <v>214598515</v>
      </c>
      <c r="G26" s="398">
        <v>656352710</v>
      </c>
      <c r="H26" s="398">
        <v>7914911925</v>
      </c>
      <c r="I26" s="399">
        <f t="shared" si="1"/>
        <v>0.59689509359447346</v>
      </c>
    </row>
    <row r="27" spans="1:9" ht="16.399999999999999" customHeight="1">
      <c r="A27" s="60">
        <f t="shared" si="0"/>
        <v>2008</v>
      </c>
      <c r="B27" s="398">
        <v>10744447308</v>
      </c>
      <c r="C27" s="398">
        <v>2871474273</v>
      </c>
      <c r="D27" s="398">
        <v>106905192</v>
      </c>
      <c r="E27" s="398">
        <v>4128247550</v>
      </c>
      <c r="F27" s="398">
        <v>228212064</v>
      </c>
      <c r="G27" s="398">
        <v>404741688</v>
      </c>
      <c r="H27" s="398">
        <v>7739580767</v>
      </c>
      <c r="I27" s="399">
        <f t="shared" si="1"/>
        <v>0.72033307485600817</v>
      </c>
    </row>
    <row r="28" spans="1:9" ht="16.399999999999999" customHeight="1">
      <c r="A28" s="60">
        <f t="shared" si="0"/>
        <v>2009</v>
      </c>
      <c r="B28" s="398">
        <v>8873155994</v>
      </c>
      <c r="C28" s="398">
        <v>2757980459</v>
      </c>
      <c r="D28" s="398">
        <v>109940257</v>
      </c>
      <c r="E28" s="398">
        <v>3948800631</v>
      </c>
      <c r="F28" s="398">
        <v>246675457</v>
      </c>
      <c r="G28" s="398">
        <v>337067258</v>
      </c>
      <c r="H28" s="398">
        <v>7400464062</v>
      </c>
      <c r="I28" s="399">
        <f t="shared" si="1"/>
        <v>0.83402839609764223</v>
      </c>
    </row>
    <row r="29" spans="1:9" ht="16.399999999999999" customHeight="1">
      <c r="A29" s="86">
        <f t="shared" si="0"/>
        <v>2010</v>
      </c>
      <c r="B29" s="400">
        <v>9374814819</v>
      </c>
      <c r="C29" s="400">
        <v>2781102966</v>
      </c>
      <c r="D29" s="400">
        <v>88043494</v>
      </c>
      <c r="E29" s="400">
        <v>4053036486</v>
      </c>
      <c r="F29" s="400">
        <v>188247503</v>
      </c>
      <c r="G29" s="400">
        <v>624956413</v>
      </c>
      <c r="H29" s="400">
        <v>7735386862</v>
      </c>
      <c r="I29" s="401">
        <f t="shared" si="1"/>
        <v>0.82512423032854365</v>
      </c>
    </row>
    <row r="30" spans="1:9" ht="16.399999999999999" customHeight="1">
      <c r="A30" s="132">
        <f t="shared" si="0"/>
        <v>2011</v>
      </c>
      <c r="B30" s="398">
        <v>10120427050</v>
      </c>
      <c r="C30" s="398">
        <v>2760623452</v>
      </c>
      <c r="D30" s="398">
        <v>99702996</v>
      </c>
      <c r="E30" s="398">
        <v>3688009150.2857141</v>
      </c>
      <c r="F30" s="398">
        <v>218166053</v>
      </c>
      <c r="G30" s="398">
        <v>531382058</v>
      </c>
      <c r="H30" s="398">
        <v>7297883709.2857141</v>
      </c>
      <c r="I30" s="399">
        <f t="shared" si="1"/>
        <v>0.72110432427707827</v>
      </c>
    </row>
    <row r="31" spans="1:9" ht="16.399999999999999" customHeight="1">
      <c r="A31" s="132">
        <f t="shared" si="0"/>
        <v>2012</v>
      </c>
      <c r="B31" s="398">
        <v>11699330284</v>
      </c>
      <c r="C31" s="398">
        <v>2821882299</v>
      </c>
      <c r="D31" s="398">
        <v>128893629</v>
      </c>
      <c r="E31" s="398">
        <v>3611169023</v>
      </c>
      <c r="F31" s="398">
        <v>230723346</v>
      </c>
      <c r="G31" s="398">
        <v>652872907</v>
      </c>
      <c r="H31" s="398">
        <v>7445541204</v>
      </c>
      <c r="I31" s="399">
        <f t="shared" si="1"/>
        <v>0.63640747147574073</v>
      </c>
    </row>
    <row r="32" spans="1:9" ht="16.399999999999999" customHeight="1">
      <c r="A32" s="132">
        <f t="shared" si="0"/>
        <v>2013</v>
      </c>
      <c r="B32" s="398">
        <v>14161005539</v>
      </c>
      <c r="C32" s="398">
        <v>2868688200</v>
      </c>
      <c r="D32" s="398">
        <v>120181089</v>
      </c>
      <c r="E32" s="398">
        <v>3458200854</v>
      </c>
      <c r="F32" s="398">
        <v>240565668</v>
      </c>
      <c r="G32" s="398">
        <v>1195548019</v>
      </c>
      <c r="H32" s="398">
        <v>7883183830</v>
      </c>
      <c r="I32" s="399">
        <f t="shared" si="1"/>
        <v>0.55668249039867845</v>
      </c>
    </row>
    <row r="33" spans="1:9" ht="16.399999999999999" customHeight="1">
      <c r="A33" s="132">
        <f t="shared" si="0"/>
        <v>2014</v>
      </c>
      <c r="B33" s="398">
        <v>15986106452</v>
      </c>
      <c r="C33" s="398">
        <v>3024510443</v>
      </c>
      <c r="D33" s="398">
        <v>150638624</v>
      </c>
      <c r="E33" s="398">
        <v>3426357952</v>
      </c>
      <c r="F33" s="398">
        <v>273696456</v>
      </c>
      <c r="G33" s="398">
        <v>1526887464</v>
      </c>
      <c r="H33" s="398">
        <v>8402090939</v>
      </c>
      <c r="I33" s="399">
        <f t="shared" si="1"/>
        <v>0.52558707551636663</v>
      </c>
    </row>
    <row r="34" spans="1:9" ht="16.399999999999999" customHeight="1">
      <c r="A34" s="60">
        <f t="shared" si="0"/>
        <v>2015</v>
      </c>
      <c r="B34" s="398">
        <v>17060021462</v>
      </c>
      <c r="C34" s="398">
        <v>3098296214</v>
      </c>
      <c r="D34" s="398">
        <v>185967787</v>
      </c>
      <c r="E34" s="398">
        <v>3364330466</v>
      </c>
      <c r="F34" s="398">
        <v>319984575</v>
      </c>
      <c r="G34" s="398">
        <v>1921249834</v>
      </c>
      <c r="H34" s="398">
        <v>8889828876</v>
      </c>
      <c r="I34" s="399">
        <f t="shared" si="1"/>
        <v>0.52109130670213222</v>
      </c>
    </row>
    <row r="35" spans="1:9" ht="16.399999999999999" customHeight="1">
      <c r="A35" s="60">
        <f t="shared" si="0"/>
        <v>2016</v>
      </c>
      <c r="B35" s="398">
        <v>17949045779</v>
      </c>
      <c r="C35" s="398">
        <v>3017087433</v>
      </c>
      <c r="D35" s="398">
        <v>235541818</v>
      </c>
      <c r="E35" s="398">
        <v>3264598863</v>
      </c>
      <c r="F35" s="398">
        <v>386464052</v>
      </c>
      <c r="G35" s="398">
        <v>1932533737</v>
      </c>
      <c r="H35" s="398">
        <v>8836225903</v>
      </c>
      <c r="I35" s="399">
        <f t="shared" si="1"/>
        <v>0.49229502291081095</v>
      </c>
    </row>
    <row r="36" spans="1:9" ht="16.399999999999999" customHeight="1">
      <c r="A36" s="60">
        <f t="shared" si="0"/>
        <v>2017</v>
      </c>
      <c r="B36" s="398">
        <v>17671411530</v>
      </c>
      <c r="C36" s="398">
        <v>2929478494</v>
      </c>
      <c r="D36" s="398">
        <v>329064756</v>
      </c>
      <c r="E36" s="398">
        <v>3171696478</v>
      </c>
      <c r="F36" s="398">
        <v>526026240</v>
      </c>
      <c r="G36" s="398">
        <v>2007204836</v>
      </c>
      <c r="H36" s="398">
        <v>8963470804</v>
      </c>
      <c r="I36" s="399">
        <f t="shared" si="1"/>
        <v>0.50723004151553475</v>
      </c>
    </row>
    <row r="37" spans="1:9" ht="16.399999999999999" customHeight="1">
      <c r="A37" s="60">
        <f t="shared" si="0"/>
        <v>2018</v>
      </c>
      <c r="B37" s="398">
        <v>17426671333</v>
      </c>
      <c r="C37" s="398">
        <v>2883808859</v>
      </c>
      <c r="D37" s="398">
        <v>460012598</v>
      </c>
      <c r="E37" s="398">
        <v>3179082604</v>
      </c>
      <c r="F37" s="398">
        <v>660110167</v>
      </c>
      <c r="G37" s="398">
        <v>3190424902</v>
      </c>
      <c r="H37" s="398">
        <v>10373439130</v>
      </c>
      <c r="I37" s="399">
        <f t="shared" ref="I37" si="2">+H37/B37</f>
        <v>0.5952622237361157</v>
      </c>
    </row>
    <row r="38" spans="1:9" ht="16.399999999999999" customHeight="1">
      <c r="A38" s="60">
        <f t="shared" si="0"/>
        <v>2019</v>
      </c>
      <c r="B38" s="398">
        <v>16116850562</v>
      </c>
      <c r="C38" s="398">
        <v>2792637073</v>
      </c>
      <c r="D38" s="398">
        <v>672930719</v>
      </c>
      <c r="E38" s="398">
        <v>2983949800</v>
      </c>
      <c r="F38" s="398">
        <v>872839175</v>
      </c>
      <c r="G38" s="398">
        <v>2369988294</v>
      </c>
      <c r="H38" s="398">
        <v>9692345061</v>
      </c>
      <c r="I38" s="399">
        <f t="shared" si="1"/>
        <v>0.60137959483550862</v>
      </c>
    </row>
    <row r="39" spans="1:9" ht="16.399999999999999" customHeight="1">
      <c r="A39" s="60">
        <f t="shared" si="0"/>
        <v>2020</v>
      </c>
      <c r="B39" s="398">
        <v>14095940927</v>
      </c>
      <c r="C39" s="398">
        <v>2077886776</v>
      </c>
      <c r="D39" s="398">
        <v>786180914</v>
      </c>
      <c r="E39" s="398">
        <v>2235810561</v>
      </c>
      <c r="F39" s="398">
        <v>1050143000</v>
      </c>
      <c r="G39" s="398">
        <v>2560780885</v>
      </c>
      <c r="H39" s="398">
        <v>8710802136</v>
      </c>
      <c r="I39" s="399">
        <f t="shared" ref="I39:I40" si="3">+H39/B39</f>
        <v>0.6179652838438715</v>
      </c>
    </row>
    <row r="40" spans="1:9" ht="16.399999999999999" customHeight="1">
      <c r="A40" s="60">
        <f t="shared" si="0"/>
        <v>2021</v>
      </c>
      <c r="B40" s="398">
        <v>13597316456</v>
      </c>
      <c r="C40" s="398">
        <v>1517306179</v>
      </c>
      <c r="D40" s="398">
        <v>1019580463</v>
      </c>
      <c r="E40" s="398">
        <v>1704507927</v>
      </c>
      <c r="F40" s="398">
        <v>1406843300</v>
      </c>
      <c r="G40" s="398">
        <v>3528280063</v>
      </c>
      <c r="H40" s="398">
        <v>9176517932</v>
      </c>
      <c r="I40" s="399">
        <f t="shared" si="3"/>
        <v>0.67487713194692456</v>
      </c>
    </row>
    <row r="41" spans="1:9" ht="16.399999999999999" customHeight="1">
      <c r="A41" s="60">
        <v>2022</v>
      </c>
      <c r="B41" s="398">
        <v>15299862247</v>
      </c>
      <c r="C41" s="398">
        <v>578534364</v>
      </c>
      <c r="D41" s="398">
        <v>870414128</v>
      </c>
      <c r="E41" s="398">
        <v>709773056</v>
      </c>
      <c r="F41" s="398">
        <v>1525758428</v>
      </c>
      <c r="G41" s="398">
        <v>5776887460</v>
      </c>
      <c r="H41" s="398">
        <v>9461367436</v>
      </c>
      <c r="I41" s="399">
        <f>+H41/B41</f>
        <v>0.61839559619925255</v>
      </c>
    </row>
    <row r="42" spans="1:9" ht="18" customHeight="1">
      <c r="A42" s="359"/>
      <c r="B42" s="360"/>
      <c r="C42" s="360"/>
      <c r="D42" s="360"/>
      <c r="E42" s="360"/>
      <c r="F42" s="360"/>
      <c r="G42" s="361"/>
      <c r="H42" s="361"/>
      <c r="I42" s="54"/>
    </row>
    <row r="43" spans="1:9" ht="16.399999999999999" customHeight="1">
      <c r="A43" s="18" t="s">
        <v>12</v>
      </c>
      <c r="B43" s="224" t="s">
        <v>278</v>
      </c>
      <c r="C43" s="360"/>
      <c r="D43" s="360"/>
      <c r="E43" s="360"/>
      <c r="F43" s="360"/>
      <c r="G43" s="361"/>
      <c r="H43" s="361"/>
      <c r="I43" s="54"/>
    </row>
    <row r="44" spans="1:9" ht="27" customHeight="1">
      <c r="A44" s="18" t="s">
        <v>13</v>
      </c>
      <c r="B44" s="505" t="s">
        <v>14</v>
      </c>
      <c r="C44" s="505"/>
      <c r="D44" s="505"/>
      <c r="E44" s="505"/>
      <c r="F44" s="505"/>
      <c r="G44" s="505"/>
      <c r="H44" s="505"/>
      <c r="I44" s="505"/>
    </row>
    <row r="45" spans="1:9" ht="18" customHeight="1">
      <c r="A45" s="18"/>
      <c r="B45" s="57"/>
      <c r="C45" s="57"/>
      <c r="D45" s="57"/>
      <c r="E45" s="57"/>
      <c r="F45" s="57"/>
      <c r="G45" s="57"/>
      <c r="H45" s="57"/>
      <c r="I45" s="57"/>
    </row>
    <row r="46" spans="1:9" ht="18" customHeight="1">
      <c r="A46" s="87" t="s">
        <v>283</v>
      </c>
      <c r="B46" s="57" t="s">
        <v>448</v>
      </c>
      <c r="C46" s="57"/>
      <c r="D46" s="57"/>
      <c r="E46" s="57"/>
      <c r="F46" s="57"/>
      <c r="G46" s="57"/>
      <c r="H46" s="57"/>
      <c r="I46" s="57"/>
    </row>
    <row r="47" spans="1:9" ht="15" customHeight="1">
      <c r="A47" s="57"/>
      <c r="B47" s="57"/>
      <c r="C47" s="57"/>
      <c r="D47" s="57"/>
      <c r="E47" s="57"/>
      <c r="F47" s="57"/>
      <c r="G47" s="57"/>
      <c r="H47" s="57"/>
      <c r="I47" s="57"/>
    </row>
  </sheetData>
  <mergeCells count="1">
    <mergeCell ref="B44:I44"/>
  </mergeCells>
  <pageMargins left="0.5" right="0.5" top="0.75" bottom="0.75" header="0.33" footer="0.33"/>
  <pageSetup scale="84" orientation="portrait" blackAndWhite="1" r:id="rId1"/>
  <headerFooter scaleWithDoc="0">
    <oddHeader>&amp;R&amp;"Arial,Regular"&amp;10Exhibit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W41"/>
  <sheetViews>
    <sheetView zoomScaleNormal="100" zoomScaleSheetLayoutView="85" workbookViewId="0"/>
  </sheetViews>
  <sheetFormatPr defaultColWidth="9.1796875" defaultRowHeight="12.5"/>
  <cols>
    <col min="1" max="1" width="18.81640625" style="85" customWidth="1"/>
    <col min="2" max="20" width="7.81640625" style="85" customWidth="1"/>
    <col min="21" max="21" width="7.81640625" style="166" customWidth="1"/>
    <col min="22" max="22" width="7.81640625" style="133" customWidth="1"/>
    <col min="23" max="16384" width="9.1796875" style="85"/>
  </cols>
  <sheetData>
    <row r="1" spans="1:23" ht="14.5" customHeight="1">
      <c r="A1" s="220" t="str">
        <f>"Selected Indemnity Development Factors - Paid to Ultimate"</f>
        <v>Selected Indemnity Development Factors - Paid to Ultimate</v>
      </c>
      <c r="B1" s="220"/>
      <c r="C1" s="220"/>
      <c r="D1" s="220"/>
      <c r="E1" s="220"/>
      <c r="F1" s="220"/>
      <c r="G1" s="220"/>
      <c r="H1" s="220"/>
      <c r="I1" s="220"/>
      <c r="J1" s="220"/>
      <c r="K1" s="220"/>
      <c r="L1" s="220"/>
      <c r="M1" s="220"/>
      <c r="N1" s="220"/>
      <c r="O1" s="220"/>
      <c r="P1" s="220"/>
      <c r="Q1" s="220"/>
      <c r="R1" s="220"/>
      <c r="S1" s="220"/>
      <c r="T1" s="220"/>
      <c r="U1" s="220"/>
      <c r="V1" s="220"/>
      <c r="W1" s="341"/>
    </row>
    <row r="2" spans="1:23" ht="13">
      <c r="A2" s="128"/>
      <c r="B2" s="128"/>
      <c r="C2" s="128"/>
      <c r="D2" s="128"/>
      <c r="E2" s="128"/>
      <c r="F2" s="128"/>
      <c r="G2" s="128"/>
      <c r="H2" s="128"/>
      <c r="I2" s="128"/>
      <c r="J2" s="128"/>
      <c r="K2" s="128"/>
      <c r="L2" s="128"/>
      <c r="M2" s="128"/>
      <c r="N2" s="128"/>
      <c r="O2" s="128"/>
      <c r="P2" s="128"/>
      <c r="Q2" s="128"/>
      <c r="R2" s="128"/>
      <c r="S2" s="128"/>
      <c r="T2" s="341"/>
      <c r="U2" s="341"/>
      <c r="V2" s="341"/>
      <c r="W2" s="341"/>
    </row>
    <row r="3" spans="1:23" ht="14.5" customHeight="1">
      <c r="A3" s="128"/>
      <c r="B3" s="221" t="s">
        <v>18</v>
      </c>
      <c r="C3" s="221"/>
      <c r="D3" s="221"/>
      <c r="E3" s="221"/>
      <c r="F3" s="221"/>
      <c r="G3" s="221"/>
      <c r="H3" s="221"/>
      <c r="I3" s="221"/>
      <c r="J3" s="221"/>
      <c r="K3" s="221"/>
      <c r="L3" s="221"/>
      <c r="M3" s="221"/>
      <c r="N3" s="221"/>
      <c r="O3" s="221"/>
      <c r="P3" s="221"/>
      <c r="Q3" s="221"/>
      <c r="R3" s="221"/>
      <c r="S3" s="221"/>
      <c r="T3" s="221"/>
      <c r="U3" s="221"/>
      <c r="V3" s="221"/>
      <c r="W3" s="341"/>
    </row>
    <row r="4" spans="1:23">
      <c r="A4" s="216" t="s">
        <v>19</v>
      </c>
      <c r="B4" s="216" t="s">
        <v>507</v>
      </c>
      <c r="C4" s="216" t="s">
        <v>508</v>
      </c>
      <c r="D4" s="216" t="s">
        <v>509</v>
      </c>
      <c r="E4" s="216" t="s">
        <v>510</v>
      </c>
      <c r="F4" s="216" t="s">
        <v>511</v>
      </c>
      <c r="G4" s="216" t="s">
        <v>512</v>
      </c>
      <c r="H4" s="216" t="s">
        <v>513</v>
      </c>
      <c r="I4" s="216" t="s">
        <v>514</v>
      </c>
      <c r="J4" s="216" t="s">
        <v>515</v>
      </c>
      <c r="K4" s="216" t="s">
        <v>516</v>
      </c>
      <c r="L4" s="216" t="s">
        <v>517</v>
      </c>
      <c r="M4" s="216" t="s">
        <v>518</v>
      </c>
      <c r="N4" s="216" t="s">
        <v>519</v>
      </c>
      <c r="O4" s="216" t="s">
        <v>520</v>
      </c>
      <c r="P4" s="216" t="s">
        <v>521</v>
      </c>
      <c r="Q4" s="216" t="s">
        <v>522</v>
      </c>
      <c r="R4" s="216" t="s">
        <v>523</v>
      </c>
      <c r="S4" s="216" t="s">
        <v>524</v>
      </c>
      <c r="T4" s="216" t="s">
        <v>525</v>
      </c>
      <c r="U4" s="216" t="s">
        <v>526</v>
      </c>
      <c r="V4" s="216" t="s">
        <v>527</v>
      </c>
      <c r="W4" s="341"/>
    </row>
    <row r="5" spans="1:23" s="101" customFormat="1">
      <c r="A5" s="213">
        <f t="shared" ref="A5:A29" si="0">+A6-1</f>
        <v>1996</v>
      </c>
      <c r="B5" s="402" t="s">
        <v>34</v>
      </c>
      <c r="C5" s="402" t="s">
        <v>34</v>
      </c>
      <c r="D5" s="402" t="s">
        <v>34</v>
      </c>
      <c r="E5" s="402" t="s">
        <v>34</v>
      </c>
      <c r="F5" s="402" t="s">
        <v>34</v>
      </c>
      <c r="G5" s="402" t="s">
        <v>34</v>
      </c>
      <c r="H5" s="402" t="s">
        <v>34</v>
      </c>
      <c r="I5" s="402" t="s">
        <v>34</v>
      </c>
      <c r="J5" s="402" t="s">
        <v>34</v>
      </c>
      <c r="K5" s="402" t="s">
        <v>34</v>
      </c>
      <c r="L5" s="402" t="s">
        <v>34</v>
      </c>
      <c r="M5" s="402" t="s">
        <v>34</v>
      </c>
      <c r="N5" s="402">
        <v>1.006</v>
      </c>
      <c r="O5" s="402">
        <v>1.006</v>
      </c>
      <c r="P5" s="402">
        <v>1.004</v>
      </c>
      <c r="Q5" s="402">
        <v>1.004</v>
      </c>
      <c r="R5" s="402">
        <v>1.0049999999999999</v>
      </c>
      <c r="S5" s="402">
        <v>1.004</v>
      </c>
      <c r="T5" s="402">
        <v>1.0029999999999999</v>
      </c>
      <c r="U5" s="402">
        <v>1.0029999999999999</v>
      </c>
      <c r="V5" s="402">
        <v>1.002</v>
      </c>
      <c r="W5" s="341"/>
    </row>
    <row r="6" spans="1:23" s="101" customFormat="1">
      <c r="A6" s="213">
        <f t="shared" si="0"/>
        <v>1997</v>
      </c>
      <c r="B6" s="402" t="s">
        <v>34</v>
      </c>
      <c r="C6" s="402" t="s">
        <v>34</v>
      </c>
      <c r="D6" s="402" t="s">
        <v>34</v>
      </c>
      <c r="E6" s="402" t="s">
        <v>34</v>
      </c>
      <c r="F6" s="402" t="s">
        <v>34</v>
      </c>
      <c r="G6" s="402" t="s">
        <v>34</v>
      </c>
      <c r="H6" s="402" t="s">
        <v>34</v>
      </c>
      <c r="I6" s="402" t="s">
        <v>34</v>
      </c>
      <c r="J6" s="402" t="s">
        <v>34</v>
      </c>
      <c r="K6" s="402" t="s">
        <v>34</v>
      </c>
      <c r="L6" s="402" t="s">
        <v>34</v>
      </c>
      <c r="M6" s="402">
        <v>1.008</v>
      </c>
      <c r="N6" s="402">
        <v>1.0069999999999999</v>
      </c>
      <c r="O6" s="402">
        <v>1.006</v>
      </c>
      <c r="P6" s="402">
        <v>1.006</v>
      </c>
      <c r="Q6" s="402">
        <v>1.0049999999999999</v>
      </c>
      <c r="R6" s="402">
        <v>1.004</v>
      </c>
      <c r="S6" s="402">
        <v>1.0029999999999999</v>
      </c>
      <c r="T6" s="402">
        <v>1.0029999999999999</v>
      </c>
      <c r="U6" s="402">
        <v>1.002</v>
      </c>
      <c r="V6" s="402">
        <v>1.0029999999999999</v>
      </c>
      <c r="W6" s="341"/>
    </row>
    <row r="7" spans="1:23">
      <c r="A7" s="213">
        <f t="shared" si="0"/>
        <v>1998</v>
      </c>
      <c r="B7" s="402" t="s">
        <v>34</v>
      </c>
      <c r="C7" s="402" t="s">
        <v>34</v>
      </c>
      <c r="D7" s="402" t="s">
        <v>34</v>
      </c>
      <c r="E7" s="402" t="s">
        <v>34</v>
      </c>
      <c r="F7" s="402" t="s">
        <v>34</v>
      </c>
      <c r="G7" s="402" t="s">
        <v>34</v>
      </c>
      <c r="H7" s="402" t="s">
        <v>34</v>
      </c>
      <c r="I7" s="402" t="s">
        <v>34</v>
      </c>
      <c r="J7" s="402" t="s">
        <v>34</v>
      </c>
      <c r="K7" s="402" t="s">
        <v>34</v>
      </c>
      <c r="L7" s="402">
        <v>1.012</v>
      </c>
      <c r="M7" s="402">
        <v>1.0089999999999999</v>
      </c>
      <c r="N7" s="402">
        <v>1.0089999999999999</v>
      </c>
      <c r="O7" s="402">
        <v>1.0069999999999999</v>
      </c>
      <c r="P7" s="402">
        <v>1.006</v>
      </c>
      <c r="Q7" s="402">
        <v>1.006</v>
      </c>
      <c r="R7" s="402">
        <v>1.006</v>
      </c>
      <c r="S7" s="402">
        <v>1.004</v>
      </c>
      <c r="T7" s="402">
        <v>1.0029999999999999</v>
      </c>
      <c r="U7" s="402">
        <v>1.0029999999999999</v>
      </c>
      <c r="V7" s="402">
        <v>1.0029999999999999</v>
      </c>
      <c r="W7" s="341"/>
    </row>
    <row r="8" spans="1:23">
      <c r="A8" s="213">
        <f t="shared" si="0"/>
        <v>1999</v>
      </c>
      <c r="B8" s="402" t="s">
        <v>34</v>
      </c>
      <c r="C8" s="402" t="s">
        <v>34</v>
      </c>
      <c r="D8" s="402" t="s">
        <v>34</v>
      </c>
      <c r="E8" s="402" t="s">
        <v>34</v>
      </c>
      <c r="F8" s="402" t="s">
        <v>34</v>
      </c>
      <c r="G8" s="402" t="s">
        <v>34</v>
      </c>
      <c r="H8" s="402" t="s">
        <v>34</v>
      </c>
      <c r="I8" s="402" t="s">
        <v>34</v>
      </c>
      <c r="J8" s="402" t="s">
        <v>34</v>
      </c>
      <c r="K8" s="402">
        <v>1.0149999999999999</v>
      </c>
      <c r="L8" s="402">
        <v>1.0109999999999999</v>
      </c>
      <c r="M8" s="402">
        <v>1.0089999999999999</v>
      </c>
      <c r="N8" s="402">
        <v>1.008</v>
      </c>
      <c r="O8" s="402">
        <v>1.0069999999999999</v>
      </c>
      <c r="P8" s="402">
        <v>1.006</v>
      </c>
      <c r="Q8" s="402">
        <v>1.004</v>
      </c>
      <c r="R8" s="402">
        <v>1.004</v>
      </c>
      <c r="S8" s="402">
        <v>1.0029999999999999</v>
      </c>
      <c r="T8" s="402">
        <v>1.0029999999999999</v>
      </c>
      <c r="U8" s="402">
        <v>1.0029999999999999</v>
      </c>
      <c r="V8" s="402">
        <v>1.002</v>
      </c>
      <c r="W8" s="341"/>
    </row>
    <row r="9" spans="1:23">
      <c r="A9" s="213">
        <f t="shared" si="0"/>
        <v>2000</v>
      </c>
      <c r="B9" s="402" t="s">
        <v>34</v>
      </c>
      <c r="C9" s="402" t="s">
        <v>34</v>
      </c>
      <c r="D9" s="402" t="s">
        <v>34</v>
      </c>
      <c r="E9" s="402" t="s">
        <v>34</v>
      </c>
      <c r="F9" s="402" t="s">
        <v>34</v>
      </c>
      <c r="G9" s="402" t="s">
        <v>34</v>
      </c>
      <c r="H9" s="402" t="s">
        <v>34</v>
      </c>
      <c r="I9" s="402" t="s">
        <v>34</v>
      </c>
      <c r="J9" s="402">
        <v>1.016</v>
      </c>
      <c r="K9" s="402">
        <v>1.0129999999999999</v>
      </c>
      <c r="L9" s="402">
        <v>1.01</v>
      </c>
      <c r="M9" s="402">
        <v>1.0089999999999999</v>
      </c>
      <c r="N9" s="402">
        <v>1.008</v>
      </c>
      <c r="O9" s="402">
        <v>1.0069999999999999</v>
      </c>
      <c r="P9" s="402">
        <v>1.0049999999999999</v>
      </c>
      <c r="Q9" s="402">
        <v>1.004</v>
      </c>
      <c r="R9" s="402">
        <v>1.004</v>
      </c>
      <c r="S9" s="402">
        <v>1.004</v>
      </c>
      <c r="T9" s="402">
        <v>1.0029999999999999</v>
      </c>
      <c r="U9" s="402">
        <v>1.002</v>
      </c>
      <c r="V9" s="402">
        <v>1.002</v>
      </c>
      <c r="W9" s="341"/>
    </row>
    <row r="10" spans="1:23">
      <c r="A10" s="213">
        <f t="shared" si="0"/>
        <v>2001</v>
      </c>
      <c r="B10" s="402" t="s">
        <v>34</v>
      </c>
      <c r="C10" s="402" t="s">
        <v>34</v>
      </c>
      <c r="D10" s="402" t="s">
        <v>34</v>
      </c>
      <c r="E10" s="402" t="s">
        <v>34</v>
      </c>
      <c r="F10" s="402" t="s">
        <v>34</v>
      </c>
      <c r="G10" s="402" t="s">
        <v>34</v>
      </c>
      <c r="H10" s="402" t="s">
        <v>34</v>
      </c>
      <c r="I10" s="402">
        <v>1.024</v>
      </c>
      <c r="J10" s="402">
        <v>1.0169999999999999</v>
      </c>
      <c r="K10" s="402">
        <v>1.014</v>
      </c>
      <c r="L10" s="402">
        <v>1.012</v>
      </c>
      <c r="M10" s="402">
        <v>1.0109999999999999</v>
      </c>
      <c r="N10" s="402">
        <v>1.008</v>
      </c>
      <c r="O10" s="402">
        <v>1.0069999999999999</v>
      </c>
      <c r="P10" s="402">
        <v>1.006</v>
      </c>
      <c r="Q10" s="402">
        <v>1.0049999999999999</v>
      </c>
      <c r="R10" s="402">
        <v>1.0049999999999999</v>
      </c>
      <c r="S10" s="402">
        <v>1.0049999999999999</v>
      </c>
      <c r="T10" s="402">
        <v>1.004</v>
      </c>
      <c r="U10" s="402">
        <v>1.0029999999999999</v>
      </c>
      <c r="V10" s="402">
        <v>1.002</v>
      </c>
      <c r="W10" s="341"/>
    </row>
    <row r="11" spans="1:23">
      <c r="A11" s="213">
        <f t="shared" si="0"/>
        <v>2002</v>
      </c>
      <c r="B11" s="402" t="s">
        <v>34</v>
      </c>
      <c r="C11" s="402" t="s">
        <v>34</v>
      </c>
      <c r="D11" s="402" t="s">
        <v>34</v>
      </c>
      <c r="E11" s="402" t="s">
        <v>34</v>
      </c>
      <c r="F11" s="402" t="s">
        <v>34</v>
      </c>
      <c r="G11" s="402" t="s">
        <v>34</v>
      </c>
      <c r="H11" s="402">
        <v>1.0309999999999999</v>
      </c>
      <c r="I11" s="402">
        <v>1.02</v>
      </c>
      <c r="J11" s="402">
        <v>1.018</v>
      </c>
      <c r="K11" s="402">
        <v>1.0149999999999999</v>
      </c>
      <c r="L11" s="402">
        <v>1.014</v>
      </c>
      <c r="M11" s="402">
        <v>1.008</v>
      </c>
      <c r="N11" s="402">
        <v>1.008</v>
      </c>
      <c r="O11" s="402">
        <v>1.006</v>
      </c>
      <c r="P11" s="402">
        <v>1.006</v>
      </c>
      <c r="Q11" s="402">
        <v>1.0049999999999999</v>
      </c>
      <c r="R11" s="402">
        <v>1.004</v>
      </c>
      <c r="S11" s="402">
        <v>1.004</v>
      </c>
      <c r="T11" s="402">
        <v>1.0029999999999999</v>
      </c>
      <c r="U11" s="402">
        <v>1.002</v>
      </c>
      <c r="V11" s="402" t="s">
        <v>34</v>
      </c>
      <c r="W11" s="341"/>
    </row>
    <row r="12" spans="1:23">
      <c r="A12" s="213">
        <f t="shared" si="0"/>
        <v>2003</v>
      </c>
      <c r="B12" s="402" t="s">
        <v>34</v>
      </c>
      <c r="C12" s="402" t="s">
        <v>34</v>
      </c>
      <c r="D12" s="402" t="s">
        <v>34</v>
      </c>
      <c r="E12" s="402" t="s">
        <v>34</v>
      </c>
      <c r="F12" s="402" t="s">
        <v>34</v>
      </c>
      <c r="G12" s="402">
        <v>1.0429999999999999</v>
      </c>
      <c r="H12" s="402">
        <v>1.03</v>
      </c>
      <c r="I12" s="402">
        <v>1.026</v>
      </c>
      <c r="J12" s="402">
        <v>1.0229999999999999</v>
      </c>
      <c r="K12" s="402">
        <v>1.0209999999999999</v>
      </c>
      <c r="L12" s="402">
        <v>1.0149999999999999</v>
      </c>
      <c r="M12" s="402">
        <v>1.012</v>
      </c>
      <c r="N12" s="402">
        <v>1.0089999999999999</v>
      </c>
      <c r="O12" s="402">
        <v>1.008</v>
      </c>
      <c r="P12" s="402">
        <v>1.0069999999999999</v>
      </c>
      <c r="Q12" s="402">
        <v>1.0069999999999999</v>
      </c>
      <c r="R12" s="402">
        <v>1.0069999999999999</v>
      </c>
      <c r="S12" s="402">
        <v>1.0049999999999999</v>
      </c>
      <c r="T12" s="402">
        <v>1.0029999999999999</v>
      </c>
      <c r="U12" s="402" t="s">
        <v>34</v>
      </c>
      <c r="V12" s="402" t="s">
        <v>34</v>
      </c>
      <c r="W12" s="341"/>
    </row>
    <row r="13" spans="1:23">
      <c r="A13" s="213">
        <f t="shared" si="0"/>
        <v>2004</v>
      </c>
      <c r="B13" s="402" t="s">
        <v>34</v>
      </c>
      <c r="C13" s="402" t="s">
        <v>34</v>
      </c>
      <c r="D13" s="402" t="s">
        <v>34</v>
      </c>
      <c r="E13" s="402" t="s">
        <v>34</v>
      </c>
      <c r="F13" s="402">
        <v>1.073</v>
      </c>
      <c r="G13" s="402">
        <v>1.0489999999999999</v>
      </c>
      <c r="H13" s="402">
        <v>1.0409999999999999</v>
      </c>
      <c r="I13" s="402">
        <v>1.0349999999999999</v>
      </c>
      <c r="J13" s="402">
        <v>1.03</v>
      </c>
      <c r="K13" s="402">
        <v>1.02</v>
      </c>
      <c r="L13" s="402">
        <v>1.0149999999999999</v>
      </c>
      <c r="M13" s="402">
        <v>1.0109999999999999</v>
      </c>
      <c r="N13" s="402">
        <v>1.0089999999999999</v>
      </c>
      <c r="O13" s="402">
        <v>1.008</v>
      </c>
      <c r="P13" s="402">
        <v>1.0089999999999999</v>
      </c>
      <c r="Q13" s="402">
        <v>1.006</v>
      </c>
      <c r="R13" s="402">
        <v>1.004</v>
      </c>
      <c r="S13" s="402">
        <v>1.0029999999999999</v>
      </c>
      <c r="T13" s="402" t="s">
        <v>34</v>
      </c>
      <c r="U13" s="402" t="s">
        <v>34</v>
      </c>
      <c r="V13" s="402" t="s">
        <v>34</v>
      </c>
      <c r="W13" s="341"/>
    </row>
    <row r="14" spans="1:23">
      <c r="A14" s="213">
        <f t="shared" si="0"/>
        <v>2005</v>
      </c>
      <c r="B14" s="402" t="s">
        <v>34</v>
      </c>
      <c r="C14" s="402" t="s">
        <v>34</v>
      </c>
      <c r="D14" s="402" t="s">
        <v>34</v>
      </c>
      <c r="E14" s="402">
        <v>1.121</v>
      </c>
      <c r="F14" s="402">
        <v>1.079</v>
      </c>
      <c r="G14" s="402">
        <v>1.06</v>
      </c>
      <c r="H14" s="402">
        <v>1.0469999999999999</v>
      </c>
      <c r="I14" s="402">
        <v>1.042</v>
      </c>
      <c r="J14" s="402">
        <v>1.028</v>
      </c>
      <c r="K14" s="402">
        <v>1.02</v>
      </c>
      <c r="L14" s="402">
        <v>1.0149999999999999</v>
      </c>
      <c r="M14" s="402">
        <v>1.0129999999999999</v>
      </c>
      <c r="N14" s="402">
        <v>1.01</v>
      </c>
      <c r="O14" s="402">
        <v>1.01</v>
      </c>
      <c r="P14" s="402">
        <v>1.01</v>
      </c>
      <c r="Q14" s="402">
        <v>1.0049999999999999</v>
      </c>
      <c r="R14" s="402">
        <v>1.0049999999999999</v>
      </c>
      <c r="S14" s="402" t="s">
        <v>34</v>
      </c>
      <c r="T14" s="402" t="s">
        <v>34</v>
      </c>
      <c r="U14" s="402" t="s">
        <v>34</v>
      </c>
      <c r="V14" s="402" t="s">
        <v>34</v>
      </c>
      <c r="W14" s="341"/>
    </row>
    <row r="15" spans="1:23">
      <c r="A15" s="213">
        <f t="shared" si="0"/>
        <v>2006</v>
      </c>
      <c r="B15" s="402" t="s">
        <v>34</v>
      </c>
      <c r="C15" s="402" t="s">
        <v>34</v>
      </c>
      <c r="D15" s="402">
        <v>1.2290000000000001</v>
      </c>
      <c r="E15" s="402">
        <v>1.135</v>
      </c>
      <c r="F15" s="402">
        <v>1.0900000000000001</v>
      </c>
      <c r="G15" s="402">
        <v>1.0680000000000001</v>
      </c>
      <c r="H15" s="402">
        <v>1.05</v>
      </c>
      <c r="I15" s="402">
        <v>1.0349999999999999</v>
      </c>
      <c r="J15" s="402">
        <v>1.026</v>
      </c>
      <c r="K15" s="402">
        <v>1.018</v>
      </c>
      <c r="L15" s="402">
        <v>1.016</v>
      </c>
      <c r="M15" s="402">
        <v>1.012</v>
      </c>
      <c r="N15" s="402">
        <v>1.0109999999999999</v>
      </c>
      <c r="O15" s="402">
        <v>1.0089999999999999</v>
      </c>
      <c r="P15" s="402">
        <v>1.0069999999999999</v>
      </c>
      <c r="Q15" s="402">
        <v>1.006</v>
      </c>
      <c r="R15" s="402" t="s">
        <v>34</v>
      </c>
      <c r="S15" s="402" t="s">
        <v>34</v>
      </c>
      <c r="T15" s="402" t="s">
        <v>34</v>
      </c>
      <c r="U15" s="402" t="s">
        <v>34</v>
      </c>
      <c r="V15" s="402" t="s">
        <v>34</v>
      </c>
      <c r="W15" s="341"/>
    </row>
    <row r="16" spans="1:23">
      <c r="A16" s="213">
        <f t="shared" si="0"/>
        <v>2007</v>
      </c>
      <c r="B16" s="402" t="s">
        <v>34</v>
      </c>
      <c r="C16" s="402">
        <v>1.5469999999999999</v>
      </c>
      <c r="D16" s="402">
        <v>1.246</v>
      </c>
      <c r="E16" s="402">
        <v>1.1399999999999999</v>
      </c>
      <c r="F16" s="402">
        <v>1.0920000000000001</v>
      </c>
      <c r="G16" s="402">
        <v>1.0660000000000001</v>
      </c>
      <c r="H16" s="402">
        <v>1.046</v>
      </c>
      <c r="I16" s="402">
        <v>1.0329999999999999</v>
      </c>
      <c r="J16" s="402">
        <v>1.0269999999999999</v>
      </c>
      <c r="K16" s="402">
        <v>1.02</v>
      </c>
      <c r="L16" s="402">
        <v>1.016</v>
      </c>
      <c r="M16" s="402">
        <v>1.0129999999999999</v>
      </c>
      <c r="N16" s="402">
        <v>1.0129999999999999</v>
      </c>
      <c r="O16" s="402">
        <v>1.0069999999999999</v>
      </c>
      <c r="P16" s="402">
        <v>1.006</v>
      </c>
      <c r="Q16" s="402" t="s">
        <v>34</v>
      </c>
      <c r="R16" s="402" t="s">
        <v>34</v>
      </c>
      <c r="S16" s="402" t="s">
        <v>34</v>
      </c>
      <c r="T16" s="402" t="s">
        <v>34</v>
      </c>
      <c r="U16" s="402" t="s">
        <v>34</v>
      </c>
      <c r="V16" s="402" t="s">
        <v>34</v>
      </c>
      <c r="W16" s="341"/>
    </row>
    <row r="17" spans="1:23">
      <c r="A17" s="213">
        <f t="shared" si="0"/>
        <v>2008</v>
      </c>
      <c r="B17" s="402">
        <v>2.927</v>
      </c>
      <c r="C17" s="402">
        <v>1.577</v>
      </c>
      <c r="D17" s="402">
        <v>1.2709999999999999</v>
      </c>
      <c r="E17" s="402">
        <v>1.1499999999999999</v>
      </c>
      <c r="F17" s="402">
        <v>1.0920000000000001</v>
      </c>
      <c r="G17" s="402">
        <v>1.06</v>
      </c>
      <c r="H17" s="402">
        <v>1.0409999999999999</v>
      </c>
      <c r="I17" s="402">
        <v>1.0269999999999999</v>
      </c>
      <c r="J17" s="402">
        <v>1.0229999999999999</v>
      </c>
      <c r="K17" s="402">
        <v>1.018</v>
      </c>
      <c r="L17" s="402">
        <v>1.0149999999999999</v>
      </c>
      <c r="M17" s="402">
        <v>1.01</v>
      </c>
      <c r="N17" s="402">
        <v>1.0089999999999999</v>
      </c>
      <c r="O17" s="402">
        <v>1.0069999999999999</v>
      </c>
      <c r="P17" s="402" t="s">
        <v>34</v>
      </c>
      <c r="Q17" s="402" t="s">
        <v>34</v>
      </c>
      <c r="R17" s="402" t="s">
        <v>34</v>
      </c>
      <c r="S17" s="402" t="s">
        <v>34</v>
      </c>
      <c r="T17" s="402" t="s">
        <v>34</v>
      </c>
      <c r="U17" s="402" t="s">
        <v>34</v>
      </c>
      <c r="V17" s="402" t="s">
        <v>34</v>
      </c>
      <c r="W17" s="341"/>
    </row>
    <row r="18" spans="1:23">
      <c r="A18" s="213">
        <f t="shared" si="0"/>
        <v>2009</v>
      </c>
      <c r="B18" s="402">
        <v>3.069</v>
      </c>
      <c r="C18" s="402">
        <v>1.6160000000000001</v>
      </c>
      <c r="D18" s="402">
        <v>1.28</v>
      </c>
      <c r="E18" s="402">
        <v>1.1559999999999999</v>
      </c>
      <c r="F18" s="402">
        <v>1.0920000000000001</v>
      </c>
      <c r="G18" s="402">
        <v>1.0609999999999999</v>
      </c>
      <c r="H18" s="402">
        <v>1.0429999999999999</v>
      </c>
      <c r="I18" s="402">
        <v>1.0309999999999999</v>
      </c>
      <c r="J18" s="402">
        <v>1.0229999999999999</v>
      </c>
      <c r="K18" s="402">
        <v>1.0189999999999999</v>
      </c>
      <c r="L18" s="402">
        <v>1.0109999999999999</v>
      </c>
      <c r="M18" s="402">
        <v>1.0129999999999999</v>
      </c>
      <c r="N18" s="402">
        <v>1.01</v>
      </c>
      <c r="O18" s="402" t="s">
        <v>34</v>
      </c>
      <c r="P18" s="402" t="s">
        <v>34</v>
      </c>
      <c r="Q18" s="402" t="s">
        <v>34</v>
      </c>
      <c r="R18" s="402" t="s">
        <v>34</v>
      </c>
      <c r="S18" s="402" t="s">
        <v>34</v>
      </c>
      <c r="T18" s="402" t="s">
        <v>34</v>
      </c>
      <c r="U18" s="402" t="s">
        <v>34</v>
      </c>
      <c r="V18" s="402" t="s">
        <v>34</v>
      </c>
      <c r="W18" s="341"/>
    </row>
    <row r="19" spans="1:23">
      <c r="A19" s="213">
        <f t="shared" si="0"/>
        <v>2010</v>
      </c>
      <c r="B19" s="402">
        <v>3.157</v>
      </c>
      <c r="C19" s="402">
        <v>1.6279999999999999</v>
      </c>
      <c r="D19" s="402">
        <v>1.2809999999999999</v>
      </c>
      <c r="E19" s="402">
        <v>1.147</v>
      </c>
      <c r="F19" s="402">
        <v>1.091</v>
      </c>
      <c r="G19" s="402">
        <v>1.06</v>
      </c>
      <c r="H19" s="402">
        <v>1.038</v>
      </c>
      <c r="I19" s="402">
        <v>1.0269999999999999</v>
      </c>
      <c r="J19" s="402">
        <v>1.0209999999999999</v>
      </c>
      <c r="K19" s="402">
        <v>1.0129999999999999</v>
      </c>
      <c r="L19" s="402">
        <v>1.012</v>
      </c>
      <c r="M19" s="402">
        <v>1.012</v>
      </c>
      <c r="N19" s="402" t="s">
        <v>34</v>
      </c>
      <c r="O19" s="402" t="s">
        <v>34</v>
      </c>
      <c r="P19" s="402" t="s">
        <v>34</v>
      </c>
      <c r="Q19" s="402" t="s">
        <v>34</v>
      </c>
      <c r="R19" s="402" t="s">
        <v>34</v>
      </c>
      <c r="S19" s="402" t="s">
        <v>34</v>
      </c>
      <c r="T19" s="402" t="s">
        <v>34</v>
      </c>
      <c r="U19" s="402" t="s">
        <v>34</v>
      </c>
      <c r="V19" s="402" t="s">
        <v>34</v>
      </c>
      <c r="W19" s="341"/>
    </row>
    <row r="20" spans="1:23">
      <c r="A20" s="213">
        <f t="shared" si="0"/>
        <v>2011</v>
      </c>
      <c r="B20" s="402">
        <v>3.2080000000000002</v>
      </c>
      <c r="C20" s="402">
        <v>1.613</v>
      </c>
      <c r="D20" s="402">
        <v>1.266</v>
      </c>
      <c r="E20" s="402">
        <v>1.1439999999999999</v>
      </c>
      <c r="F20" s="402">
        <v>1.087</v>
      </c>
      <c r="G20" s="402">
        <v>1.056</v>
      </c>
      <c r="H20" s="402">
        <v>1.0409999999999999</v>
      </c>
      <c r="I20" s="402">
        <v>1.026</v>
      </c>
      <c r="J20" s="402">
        <v>1.016</v>
      </c>
      <c r="K20" s="402">
        <v>1.016</v>
      </c>
      <c r="L20" s="402">
        <v>1.01</v>
      </c>
      <c r="M20" s="402" t="s">
        <v>34</v>
      </c>
      <c r="N20" s="402" t="s">
        <v>34</v>
      </c>
      <c r="O20" s="402" t="s">
        <v>34</v>
      </c>
      <c r="P20" s="402" t="s">
        <v>34</v>
      </c>
      <c r="Q20" s="402" t="s">
        <v>34</v>
      </c>
      <c r="R20" s="402" t="s">
        <v>34</v>
      </c>
      <c r="S20" s="402" t="s">
        <v>34</v>
      </c>
      <c r="T20" s="402" t="s">
        <v>34</v>
      </c>
      <c r="U20" s="402" t="s">
        <v>34</v>
      </c>
      <c r="V20" s="402" t="s">
        <v>34</v>
      </c>
      <c r="W20" s="341"/>
    </row>
    <row r="21" spans="1:23">
      <c r="A21" s="213">
        <f t="shared" si="0"/>
        <v>2012</v>
      </c>
      <c r="B21" s="402">
        <v>3.137</v>
      </c>
      <c r="C21" s="402">
        <v>1.597</v>
      </c>
      <c r="D21" s="402">
        <v>1.262</v>
      </c>
      <c r="E21" s="402">
        <v>1.137</v>
      </c>
      <c r="F21" s="402">
        <v>1.087</v>
      </c>
      <c r="G21" s="402">
        <v>1.0509999999999999</v>
      </c>
      <c r="H21" s="402">
        <v>1.034</v>
      </c>
      <c r="I21" s="402">
        <v>1.0229999999999999</v>
      </c>
      <c r="J21" s="402">
        <v>1.0169999999999999</v>
      </c>
      <c r="K21" s="402">
        <v>1.014</v>
      </c>
      <c r="L21" s="402" t="s">
        <v>34</v>
      </c>
      <c r="M21" s="402" t="s">
        <v>34</v>
      </c>
      <c r="N21" s="402" t="s">
        <v>34</v>
      </c>
      <c r="O21" s="402" t="s">
        <v>34</v>
      </c>
      <c r="P21" s="402" t="s">
        <v>34</v>
      </c>
      <c r="Q21" s="402" t="s">
        <v>34</v>
      </c>
      <c r="R21" s="402" t="s">
        <v>34</v>
      </c>
      <c r="S21" s="402" t="s">
        <v>34</v>
      </c>
      <c r="T21" s="402" t="s">
        <v>34</v>
      </c>
      <c r="U21" s="402" t="s">
        <v>34</v>
      </c>
      <c r="V21" s="402" t="s">
        <v>34</v>
      </c>
      <c r="W21" s="341"/>
    </row>
    <row r="22" spans="1:23">
      <c r="A22" s="213">
        <f t="shared" si="0"/>
        <v>2013</v>
      </c>
      <c r="B22" s="402">
        <v>3.169</v>
      </c>
      <c r="C22" s="402">
        <v>1.6060000000000001</v>
      </c>
      <c r="D22" s="402">
        <v>1.26</v>
      </c>
      <c r="E22" s="402">
        <v>1.129</v>
      </c>
      <c r="F22" s="402">
        <v>1.0720000000000001</v>
      </c>
      <c r="G22" s="402">
        <v>1.044</v>
      </c>
      <c r="H22" s="402">
        <v>1.028</v>
      </c>
      <c r="I22" s="402">
        <v>1.02</v>
      </c>
      <c r="J22" s="402">
        <v>1.014</v>
      </c>
      <c r="K22" s="402" t="s">
        <v>34</v>
      </c>
      <c r="L22" s="402" t="s">
        <v>34</v>
      </c>
      <c r="M22" s="402" t="s">
        <v>34</v>
      </c>
      <c r="N22" s="402" t="s">
        <v>34</v>
      </c>
      <c r="O22" s="402" t="s">
        <v>34</v>
      </c>
      <c r="P22" s="402" t="s">
        <v>34</v>
      </c>
      <c r="Q22" s="402" t="s">
        <v>34</v>
      </c>
      <c r="R22" s="402" t="s">
        <v>34</v>
      </c>
      <c r="S22" s="402" t="s">
        <v>34</v>
      </c>
      <c r="T22" s="402" t="s">
        <v>34</v>
      </c>
      <c r="U22" s="402" t="s">
        <v>34</v>
      </c>
      <c r="V22" s="402" t="s">
        <v>34</v>
      </c>
      <c r="W22" s="341"/>
    </row>
    <row r="23" spans="1:23">
      <c r="A23" s="213">
        <f t="shared" si="0"/>
        <v>2014</v>
      </c>
      <c r="B23" s="402">
        <v>3.2290000000000001</v>
      </c>
      <c r="C23" s="402">
        <v>1.635</v>
      </c>
      <c r="D23" s="402">
        <v>1.2569999999999999</v>
      </c>
      <c r="E23" s="402">
        <v>1.129</v>
      </c>
      <c r="F23" s="402">
        <v>1.071</v>
      </c>
      <c r="G23" s="402">
        <v>1.0389999999999999</v>
      </c>
      <c r="H23" s="402">
        <v>1.0269999999999999</v>
      </c>
      <c r="I23" s="402">
        <v>1.018</v>
      </c>
      <c r="J23" s="402" t="s">
        <v>34</v>
      </c>
      <c r="K23" s="402" t="s">
        <v>34</v>
      </c>
      <c r="L23" s="402" t="s">
        <v>34</v>
      </c>
      <c r="M23" s="402" t="s">
        <v>34</v>
      </c>
      <c r="N23" s="402" t="s">
        <v>34</v>
      </c>
      <c r="O23" s="402" t="s">
        <v>34</v>
      </c>
      <c r="P23" s="402" t="s">
        <v>34</v>
      </c>
      <c r="Q23" s="402" t="s">
        <v>34</v>
      </c>
      <c r="R23" s="402" t="s">
        <v>34</v>
      </c>
      <c r="S23" s="402" t="s">
        <v>34</v>
      </c>
      <c r="T23" s="402" t="s">
        <v>34</v>
      </c>
      <c r="U23" s="402" t="s">
        <v>34</v>
      </c>
      <c r="V23" s="402" t="s">
        <v>34</v>
      </c>
      <c r="W23" s="341"/>
    </row>
    <row r="24" spans="1:23">
      <c r="A24" s="213">
        <f t="shared" si="0"/>
        <v>2015</v>
      </c>
      <c r="B24" s="402">
        <v>3.278</v>
      </c>
      <c r="C24" s="402">
        <v>1.6180000000000001</v>
      </c>
      <c r="D24" s="402">
        <v>1.244</v>
      </c>
      <c r="E24" s="402">
        <v>1.119</v>
      </c>
      <c r="F24" s="402">
        <v>1.0580000000000001</v>
      </c>
      <c r="G24" s="402">
        <v>1.042</v>
      </c>
      <c r="H24" s="402">
        <v>1.026</v>
      </c>
      <c r="I24" s="402" t="s">
        <v>34</v>
      </c>
      <c r="J24" s="402" t="s">
        <v>34</v>
      </c>
      <c r="K24" s="402" t="s">
        <v>34</v>
      </c>
      <c r="L24" s="402" t="s">
        <v>34</v>
      </c>
      <c r="M24" s="402" t="s">
        <v>34</v>
      </c>
      <c r="N24" s="402" t="s">
        <v>34</v>
      </c>
      <c r="O24" s="402" t="s">
        <v>34</v>
      </c>
      <c r="P24" s="402" t="s">
        <v>34</v>
      </c>
      <c r="Q24" s="402" t="s">
        <v>34</v>
      </c>
      <c r="R24" s="402" t="s">
        <v>34</v>
      </c>
      <c r="S24" s="402" t="s">
        <v>34</v>
      </c>
      <c r="T24" s="402" t="s">
        <v>34</v>
      </c>
      <c r="U24" s="402" t="s">
        <v>34</v>
      </c>
      <c r="V24" s="402" t="s">
        <v>34</v>
      </c>
      <c r="W24" s="341"/>
    </row>
    <row r="25" spans="1:23">
      <c r="A25" s="213">
        <f t="shared" si="0"/>
        <v>2016</v>
      </c>
      <c r="B25" s="402">
        <v>3.2349999999999999</v>
      </c>
      <c r="C25" s="402">
        <v>1.5860000000000001</v>
      </c>
      <c r="D25" s="402">
        <v>1.23</v>
      </c>
      <c r="E25" s="402">
        <v>1.103</v>
      </c>
      <c r="F25" s="402">
        <v>1.06</v>
      </c>
      <c r="G25" s="402">
        <v>1.0429999999999999</v>
      </c>
      <c r="H25" s="402" t="s">
        <v>34</v>
      </c>
      <c r="I25" s="402" t="s">
        <v>34</v>
      </c>
      <c r="J25" s="402" t="s">
        <v>34</v>
      </c>
      <c r="K25" s="402" t="s">
        <v>34</v>
      </c>
      <c r="L25" s="402" t="s">
        <v>34</v>
      </c>
      <c r="M25" s="402" t="s">
        <v>34</v>
      </c>
      <c r="N25" s="402" t="s">
        <v>34</v>
      </c>
      <c r="O25" s="402" t="s">
        <v>34</v>
      </c>
      <c r="P25" s="402" t="s">
        <v>34</v>
      </c>
      <c r="Q25" s="402" t="s">
        <v>34</v>
      </c>
      <c r="R25" s="402" t="s">
        <v>34</v>
      </c>
      <c r="S25" s="402" t="s">
        <v>34</v>
      </c>
      <c r="T25" s="402" t="s">
        <v>34</v>
      </c>
      <c r="U25" s="402" t="s">
        <v>34</v>
      </c>
      <c r="V25" s="402" t="s">
        <v>34</v>
      </c>
      <c r="W25" s="341"/>
    </row>
    <row r="26" spans="1:23">
      <c r="A26" s="213">
        <f t="shared" si="0"/>
        <v>2017</v>
      </c>
      <c r="B26" s="402">
        <v>3.1850000000000001</v>
      </c>
      <c r="C26" s="402">
        <v>1.569</v>
      </c>
      <c r="D26" s="402">
        <v>1.21</v>
      </c>
      <c r="E26" s="402">
        <v>1.109</v>
      </c>
      <c r="F26" s="402">
        <v>1.0649999999999999</v>
      </c>
      <c r="G26" s="402" t="s">
        <v>34</v>
      </c>
      <c r="H26" s="402" t="s">
        <v>34</v>
      </c>
      <c r="I26" s="402" t="s">
        <v>34</v>
      </c>
      <c r="J26" s="402" t="s">
        <v>34</v>
      </c>
      <c r="K26" s="402" t="s">
        <v>34</v>
      </c>
      <c r="L26" s="402" t="s">
        <v>34</v>
      </c>
      <c r="M26" s="402" t="s">
        <v>34</v>
      </c>
      <c r="N26" s="402" t="s">
        <v>34</v>
      </c>
      <c r="O26" s="402" t="s">
        <v>34</v>
      </c>
      <c r="P26" s="402" t="s">
        <v>34</v>
      </c>
      <c r="Q26" s="402" t="s">
        <v>34</v>
      </c>
      <c r="R26" s="402" t="s">
        <v>34</v>
      </c>
      <c r="S26" s="402" t="s">
        <v>34</v>
      </c>
      <c r="T26" s="402" t="s">
        <v>34</v>
      </c>
      <c r="U26" s="402" t="s">
        <v>34</v>
      </c>
      <c r="V26" s="402" t="s">
        <v>34</v>
      </c>
      <c r="W26" s="341"/>
    </row>
    <row r="27" spans="1:23">
      <c r="A27" s="213">
        <f t="shared" si="0"/>
        <v>2018</v>
      </c>
      <c r="B27" s="402">
        <v>3.11</v>
      </c>
      <c r="C27" s="402">
        <v>1.526</v>
      </c>
      <c r="D27" s="402">
        <v>1.222</v>
      </c>
      <c r="E27" s="402">
        <v>1.113</v>
      </c>
      <c r="F27" s="402" t="s">
        <v>34</v>
      </c>
      <c r="G27" s="402" t="s">
        <v>34</v>
      </c>
      <c r="H27" s="402" t="s">
        <v>34</v>
      </c>
      <c r="I27" s="402" t="s">
        <v>34</v>
      </c>
      <c r="J27" s="402" t="s">
        <v>34</v>
      </c>
      <c r="K27" s="402" t="s">
        <v>34</v>
      </c>
      <c r="L27" s="402" t="s">
        <v>34</v>
      </c>
      <c r="M27" s="402" t="s">
        <v>34</v>
      </c>
      <c r="N27" s="402" t="s">
        <v>34</v>
      </c>
      <c r="O27" s="402" t="s">
        <v>34</v>
      </c>
      <c r="P27" s="402" t="s">
        <v>34</v>
      </c>
      <c r="Q27" s="402" t="s">
        <v>34</v>
      </c>
      <c r="R27" s="402" t="s">
        <v>34</v>
      </c>
      <c r="S27" s="402" t="s">
        <v>34</v>
      </c>
      <c r="T27" s="402" t="s">
        <v>34</v>
      </c>
      <c r="U27" s="402" t="s">
        <v>34</v>
      </c>
      <c r="V27" s="402" t="s">
        <v>34</v>
      </c>
      <c r="W27" s="341"/>
    </row>
    <row r="28" spans="1:23">
      <c r="A28" s="213">
        <f t="shared" si="0"/>
        <v>2019</v>
      </c>
      <c r="B28" s="402">
        <v>3.0630000000000002</v>
      </c>
      <c r="C28" s="402">
        <v>1.5489999999999999</v>
      </c>
      <c r="D28" s="402">
        <v>1.24</v>
      </c>
      <c r="E28" s="402" t="s">
        <v>34</v>
      </c>
      <c r="F28" s="402" t="s">
        <v>34</v>
      </c>
      <c r="G28" s="402" t="s">
        <v>34</v>
      </c>
      <c r="H28" s="402" t="s">
        <v>34</v>
      </c>
      <c r="I28" s="402" t="s">
        <v>34</v>
      </c>
      <c r="J28" s="402" t="s">
        <v>34</v>
      </c>
      <c r="K28" s="402" t="s">
        <v>34</v>
      </c>
      <c r="L28" s="402" t="s">
        <v>34</v>
      </c>
      <c r="M28" s="402" t="s">
        <v>34</v>
      </c>
      <c r="N28" s="402" t="s">
        <v>34</v>
      </c>
      <c r="O28" s="402" t="s">
        <v>34</v>
      </c>
      <c r="P28" s="402" t="s">
        <v>34</v>
      </c>
      <c r="Q28" s="402" t="s">
        <v>34</v>
      </c>
      <c r="R28" s="402" t="s">
        <v>34</v>
      </c>
      <c r="S28" s="402" t="s">
        <v>34</v>
      </c>
      <c r="T28" s="402" t="s">
        <v>34</v>
      </c>
      <c r="U28" s="402" t="s">
        <v>34</v>
      </c>
      <c r="V28" s="402" t="s">
        <v>34</v>
      </c>
      <c r="W28" s="341"/>
    </row>
    <row r="29" spans="1:23">
      <c r="A29" s="213">
        <f t="shared" si="0"/>
        <v>2020</v>
      </c>
      <c r="B29" s="402">
        <v>2.9590000000000001</v>
      </c>
      <c r="C29" s="402">
        <v>1.544</v>
      </c>
      <c r="D29" s="402" t="s">
        <v>34</v>
      </c>
      <c r="E29" s="402" t="s">
        <v>34</v>
      </c>
      <c r="F29" s="402" t="s">
        <v>34</v>
      </c>
      <c r="G29" s="402" t="s">
        <v>34</v>
      </c>
      <c r="H29" s="402" t="s">
        <v>34</v>
      </c>
      <c r="I29" s="402" t="s">
        <v>34</v>
      </c>
      <c r="J29" s="402" t="s">
        <v>34</v>
      </c>
      <c r="K29" s="402" t="s">
        <v>34</v>
      </c>
      <c r="L29" s="402" t="s">
        <v>34</v>
      </c>
      <c r="M29" s="402" t="s">
        <v>34</v>
      </c>
      <c r="N29" s="402" t="s">
        <v>34</v>
      </c>
      <c r="O29" s="402" t="s">
        <v>34</v>
      </c>
      <c r="P29" s="402" t="s">
        <v>34</v>
      </c>
      <c r="Q29" s="402" t="s">
        <v>34</v>
      </c>
      <c r="R29" s="402" t="s">
        <v>34</v>
      </c>
      <c r="S29" s="402" t="s">
        <v>34</v>
      </c>
      <c r="T29" s="402" t="s">
        <v>34</v>
      </c>
      <c r="U29" s="402" t="s">
        <v>34</v>
      </c>
      <c r="V29" s="402" t="s">
        <v>34</v>
      </c>
      <c r="W29" s="341"/>
    </row>
    <row r="30" spans="1:23">
      <c r="A30" s="213">
        <f>'Exhibit 2.4.1'!A29</f>
        <v>2021</v>
      </c>
      <c r="B30" s="402">
        <v>2.952</v>
      </c>
      <c r="C30" s="402" t="s">
        <v>34</v>
      </c>
      <c r="D30" s="402" t="s">
        <v>34</v>
      </c>
      <c r="E30" s="402" t="s">
        <v>34</v>
      </c>
      <c r="F30" s="402" t="s">
        <v>34</v>
      </c>
      <c r="G30" s="402" t="s">
        <v>34</v>
      </c>
      <c r="H30" s="402" t="s">
        <v>34</v>
      </c>
      <c r="I30" s="402" t="s">
        <v>34</v>
      </c>
      <c r="J30" s="402" t="s">
        <v>34</v>
      </c>
      <c r="K30" s="402" t="s">
        <v>34</v>
      </c>
      <c r="L30" s="402" t="s">
        <v>34</v>
      </c>
      <c r="M30" s="402" t="s">
        <v>34</v>
      </c>
      <c r="N30" s="402" t="s">
        <v>34</v>
      </c>
      <c r="O30" s="402" t="s">
        <v>34</v>
      </c>
      <c r="P30" s="402" t="s">
        <v>34</v>
      </c>
      <c r="Q30" s="402" t="s">
        <v>34</v>
      </c>
      <c r="R30" s="402" t="s">
        <v>34</v>
      </c>
      <c r="S30" s="402" t="s">
        <v>34</v>
      </c>
      <c r="T30" s="402" t="s">
        <v>34</v>
      </c>
      <c r="U30" s="402" t="s">
        <v>34</v>
      </c>
      <c r="V30" s="402" t="s">
        <v>34</v>
      </c>
      <c r="W30" s="341"/>
    </row>
    <row r="31" spans="1:23">
      <c r="A31" s="343"/>
      <c r="B31" s="372"/>
      <c r="C31" s="372"/>
      <c r="D31" s="372"/>
      <c r="E31" s="372"/>
      <c r="F31" s="372"/>
      <c r="G31" s="372"/>
      <c r="H31" s="343"/>
      <c r="I31" s="343"/>
      <c r="J31" s="343"/>
      <c r="K31" s="343"/>
      <c r="L31" s="343"/>
      <c r="M31" s="343"/>
      <c r="N31" s="343"/>
      <c r="O31" s="343"/>
      <c r="P31" s="343"/>
      <c r="Q31" s="17"/>
      <c r="R31" s="17"/>
      <c r="S31" s="343"/>
      <c r="T31" s="341"/>
      <c r="U31" s="341"/>
      <c r="V31" s="341"/>
      <c r="W31" s="341"/>
    </row>
    <row r="32" spans="1:23">
      <c r="A32" s="213" t="s">
        <v>20</v>
      </c>
      <c r="B32" s="403" t="str">
        <f t="shared" ref="B32:G32" si="1">TEXT(INDEX($B$40:$H$40,MATCH(B$4,$B$41:$H$41,0)),"0.000")&amp;"(b)"</f>
        <v>2.949(b)</v>
      </c>
      <c r="C32" s="403" t="str">
        <f t="shared" si="1"/>
        <v>1.517(b)</v>
      </c>
      <c r="D32" s="403" t="str">
        <f t="shared" si="1"/>
        <v>1.242(b)</v>
      </c>
      <c r="E32" s="403" t="str">
        <f t="shared" si="1"/>
        <v>1.124(b)</v>
      </c>
      <c r="F32" s="403" t="str">
        <f t="shared" si="1"/>
        <v>1.070(b)</v>
      </c>
      <c r="G32" s="403" t="str">
        <f t="shared" si="1"/>
        <v>1.042(b)</v>
      </c>
      <c r="H32" s="403">
        <f ca="1">OFFSET(H$31,-COUNTA($B$4:H$4),0)</f>
        <v>1.026</v>
      </c>
      <c r="I32" s="403">
        <f ca="1">OFFSET(I$31,-COUNTA($B$4:I$4),0)</f>
        <v>1.018</v>
      </c>
      <c r="J32" s="403">
        <f ca="1">AVERAGE(OFFSET(J$29:J$31,-COUNTA($B$4:J$4),0))</f>
        <v>1.0156666666666665</v>
      </c>
      <c r="K32" s="403">
        <f ca="1">AVERAGE(OFFSET(K$29:K$31,-COUNTA($B$4:K$4),0))</f>
        <v>1.0143333333333333</v>
      </c>
      <c r="L32" s="403">
        <f ca="1">AVERAGE(OFFSET(L$29:L$31,-COUNTA($B$4:L$4),0))</f>
        <v>1.0109999999999999</v>
      </c>
      <c r="M32" s="403">
        <f ca="1">AVERAGE(OFFSET(M$29:M$31,-COUNTA($B$4:M$4),0))</f>
        <v>1.0116666666666665</v>
      </c>
      <c r="N32" s="403">
        <f ca="1">AVERAGE(OFFSET(N$29:N$31,-COUNTA($B$4:N$4),0))</f>
        <v>1.0106666666666666</v>
      </c>
      <c r="O32" s="403">
        <f ca="1">AVERAGE(OFFSET(O$29:O$31,-COUNTA($B$4:O$4),0))</f>
        <v>1.0076666666666665</v>
      </c>
      <c r="P32" s="403">
        <f ca="1">AVERAGE(OFFSET(P$29:P$31,-COUNTA($B$4:P$4),0))</f>
        <v>1.0076666666666665</v>
      </c>
      <c r="Q32" s="403">
        <f ca="1">AVERAGE(OFFSET(Q$29:Q$31,-COUNTA($B$4:Q$4),0))</f>
        <v>1.0056666666666667</v>
      </c>
      <c r="R32" s="403">
        <f ca="1">AVERAGE(OFFSET(R$29:R$31,-COUNTA($B$4:R$4),0))</f>
        <v>1.0053333333333334</v>
      </c>
      <c r="S32" s="403">
        <f ca="1">AVERAGE(OFFSET(S$29:S$31,-COUNTA($B$4:S$4),0))</f>
        <v>1.0039999999999998</v>
      </c>
      <c r="T32" s="403">
        <f ca="1">AVERAGE(OFFSET(T$29:T$31,-COUNTA($B$4:T$4),0))</f>
        <v>1.0033333333333332</v>
      </c>
      <c r="U32" s="403">
        <f ca="1">AVERAGE(OFFSET(U$29:U$31,-COUNTA($B$4:U$4),0))</f>
        <v>1.0023333333333333</v>
      </c>
      <c r="V32" s="403">
        <f ca="1">AVERAGE(OFFSET(V$29:V$31,-COUNTA($B$4:V$4),0))</f>
        <v>1.002</v>
      </c>
      <c r="W32" s="341"/>
    </row>
    <row r="33" spans="1:23">
      <c r="A33" s="213" t="s">
        <v>21</v>
      </c>
      <c r="B33" s="223">
        <f t="shared" ref="B33:G33" ca="1" si="2">INDEX($B$40:$H$40,MATCH(B$4,$B$41:$H$41,0))*C33</f>
        <v>8.2257627779799805</v>
      </c>
      <c r="C33" s="223">
        <f t="shared" ca="1" si="2"/>
        <v>2.7892567892014841</v>
      </c>
      <c r="D33" s="223">
        <f t="shared" ca="1" si="2"/>
        <v>1.8380791433713861</v>
      </c>
      <c r="E33" s="223">
        <f t="shared" ca="1" si="2"/>
        <v>1.4805088143920171</v>
      </c>
      <c r="F33" s="223">
        <f t="shared" ca="1" si="2"/>
        <v>1.3172564260286819</v>
      </c>
      <c r="G33" s="223">
        <f t="shared" ca="1" si="2"/>
        <v>1.2312658131661389</v>
      </c>
      <c r="H33" s="403">
        <f ca="1">H32*I33</f>
        <v>1.1816898497123209</v>
      </c>
      <c r="I33" s="403">
        <f t="shared" ref="I33:U33" ca="1" si="3">I32*J33</f>
        <v>1.1517444928969989</v>
      </c>
      <c r="J33" s="403">
        <f t="shared" ca="1" si="3"/>
        <v>1.1313796590343801</v>
      </c>
      <c r="K33" s="403">
        <f t="shared" ca="1" si="3"/>
        <v>1.1139281185110406</v>
      </c>
      <c r="L33" s="403">
        <f t="shared" ca="1" si="3"/>
        <v>1.0981874319859093</v>
      </c>
      <c r="M33" s="403">
        <f t="shared" ca="1" si="3"/>
        <v>1.0862388051294851</v>
      </c>
      <c r="N33" s="403">
        <f t="shared" ca="1" si="3"/>
        <v>1.0737121632251914</v>
      </c>
      <c r="O33" s="403">
        <f t="shared" ca="1" si="3"/>
        <v>1.0623801087320495</v>
      </c>
      <c r="P33" s="403">
        <f t="shared" ca="1" si="3"/>
        <v>1.05429716380951</v>
      </c>
      <c r="Q33" s="403">
        <f t="shared" ca="1" si="3"/>
        <v>1.0462757166485381</v>
      </c>
      <c r="R33" s="403">
        <f t="shared" ca="1" si="3"/>
        <v>1.0403802286859842</v>
      </c>
      <c r="S33" s="403">
        <f t="shared" ca="1" si="3"/>
        <v>1.0348609701783662</v>
      </c>
      <c r="T33" s="403">
        <f t="shared" ca="1" si="3"/>
        <v>1.0307380181059427</v>
      </c>
      <c r="U33" s="403">
        <f t="shared" ca="1" si="3"/>
        <v>1.0273136393082487</v>
      </c>
      <c r="V33" s="403">
        <f ca="1">V32*'Exhibit 2.5.2'!B27</f>
        <v>1.0249221542815916</v>
      </c>
      <c r="W33" s="341"/>
    </row>
    <row r="34" spans="1:23">
      <c r="A34" s="343"/>
      <c r="B34" s="372"/>
      <c r="C34" s="372"/>
      <c r="D34" s="372"/>
      <c r="E34" s="372"/>
      <c r="F34" s="372"/>
      <c r="G34" s="372"/>
      <c r="H34" s="343"/>
      <c r="I34" s="343"/>
      <c r="J34" s="343"/>
      <c r="K34" s="343"/>
      <c r="L34" s="343"/>
      <c r="M34" s="343"/>
      <c r="N34" s="343"/>
      <c r="O34" s="343"/>
      <c r="P34" s="343"/>
      <c r="Q34" s="343"/>
      <c r="R34" s="343"/>
      <c r="S34" s="343"/>
      <c r="T34" s="341"/>
      <c r="U34" s="341"/>
      <c r="V34" s="341"/>
      <c r="W34" s="341"/>
    </row>
    <row r="35" spans="1:23" ht="12.75" customHeight="1">
      <c r="A35" s="18" t="s">
        <v>22</v>
      </c>
      <c r="B35" s="224" t="s">
        <v>491</v>
      </c>
      <c r="C35" s="224"/>
      <c r="D35" s="224"/>
      <c r="E35" s="224"/>
      <c r="F35" s="224"/>
      <c r="G35" s="224"/>
      <c r="H35" s="224"/>
      <c r="I35" s="224"/>
      <c r="J35" s="224"/>
      <c r="K35" s="224"/>
      <c r="L35" s="224"/>
      <c r="M35" s="224"/>
      <c r="N35" s="224"/>
      <c r="O35" s="224"/>
      <c r="P35" s="224"/>
      <c r="Q35" s="224"/>
      <c r="R35" s="224"/>
      <c r="S35" s="224"/>
      <c r="T35" s="341"/>
      <c r="U35" s="341"/>
      <c r="V35" s="341"/>
      <c r="W35" s="341"/>
    </row>
    <row r="36" spans="1:23" ht="12.75" customHeight="1">
      <c r="A36" s="18" t="s">
        <v>28</v>
      </c>
      <c r="B36" s="224" t="s">
        <v>442</v>
      </c>
      <c r="C36" s="224"/>
      <c r="D36" s="224"/>
      <c r="E36" s="224"/>
      <c r="F36" s="224"/>
      <c r="G36" s="224"/>
      <c r="H36" s="224"/>
      <c r="I36" s="224"/>
      <c r="J36" s="224"/>
      <c r="K36" s="224"/>
      <c r="L36" s="224"/>
      <c r="M36" s="224"/>
      <c r="N36" s="224"/>
      <c r="O36" s="224"/>
      <c r="P36" s="224"/>
      <c r="Q36" s="224"/>
      <c r="R36" s="224"/>
      <c r="S36" s="224"/>
      <c r="T36" s="341"/>
      <c r="U36" s="341"/>
      <c r="V36" s="341"/>
      <c r="W36" s="341"/>
    </row>
    <row r="37" spans="1:23" ht="12.75" customHeight="1">
      <c r="A37" s="18"/>
      <c r="B37" s="371" t="s">
        <v>366</v>
      </c>
      <c r="C37" s="370"/>
      <c r="D37" s="370"/>
      <c r="E37" s="370"/>
      <c r="F37" s="370"/>
      <c r="G37" s="370"/>
      <c r="H37" s="201"/>
      <c r="I37" s="201"/>
      <c r="J37" s="201"/>
      <c r="K37" s="201"/>
      <c r="L37" s="201"/>
      <c r="M37" s="201"/>
      <c r="N37" s="201"/>
      <c r="O37" s="201"/>
      <c r="P37" s="201"/>
      <c r="Q37" s="201"/>
      <c r="R37" s="201"/>
      <c r="S37" s="201"/>
      <c r="T37" s="341"/>
      <c r="U37" s="341"/>
      <c r="V37" s="341"/>
      <c r="W37" s="341"/>
    </row>
    <row r="38" spans="1:23" ht="12.75" customHeight="1">
      <c r="A38" s="341"/>
      <c r="B38" s="371"/>
      <c r="C38" s="215"/>
      <c r="D38" s="371"/>
      <c r="E38" s="371"/>
      <c r="F38" s="371"/>
      <c r="G38" s="371"/>
      <c r="H38" s="341"/>
      <c r="I38" s="341"/>
      <c r="J38" s="341"/>
      <c r="K38" s="341"/>
      <c r="L38" s="341"/>
      <c r="M38" s="341"/>
      <c r="N38" s="341"/>
      <c r="O38" s="341"/>
      <c r="P38" s="341"/>
      <c r="Q38" s="341"/>
      <c r="R38" s="341"/>
      <c r="S38" s="341"/>
      <c r="T38" s="341"/>
      <c r="U38" s="341"/>
      <c r="V38" s="341"/>
      <c r="W38" s="341"/>
    </row>
    <row r="39" spans="1:23">
      <c r="A39" s="229"/>
      <c r="B39" s="403" t="str">
        <f>'Exhibits 2.5.3 - 2.5.8'!D$322</f>
        <v>12-24</v>
      </c>
      <c r="C39" s="403" t="str">
        <f>'Exhibits 2.5.3 - 2.5.8'!E$322</f>
        <v>24-36</v>
      </c>
      <c r="D39" s="403" t="str">
        <f>'Exhibits 2.5.3 - 2.5.8'!F$322</f>
        <v>36-48</v>
      </c>
      <c r="E39" s="403" t="str">
        <f>'Exhibits 2.5.3 - 2.5.8'!G$322</f>
        <v>48-60</v>
      </c>
      <c r="F39" s="403" t="str">
        <f>'Exhibits 2.5.3 - 2.5.8'!H$322</f>
        <v>60-72</v>
      </c>
      <c r="G39" s="403" t="str">
        <f>'Exhibits 2.5.3 - 2.5.8'!I$322</f>
        <v>72-84</v>
      </c>
      <c r="H39" s="215"/>
      <c r="I39" s="215"/>
      <c r="J39" s="215"/>
      <c r="K39" s="215"/>
      <c r="L39" s="215"/>
      <c r="M39" s="215"/>
      <c r="N39" s="215"/>
      <c r="O39" s="215"/>
      <c r="P39" s="215"/>
      <c r="Q39" s="215"/>
      <c r="R39" s="215"/>
      <c r="S39" s="215"/>
      <c r="T39" s="215"/>
      <c r="U39" s="341"/>
      <c r="V39" s="341"/>
      <c r="W39" s="341"/>
    </row>
    <row r="40" spans="1:23">
      <c r="A40" s="43" t="str">
        <f>'Exhibits 2.5.3 - 2.5.8'!C$333</f>
        <v>Latest Year</v>
      </c>
      <c r="B40" s="403">
        <f>'Exhibits 2.5.3 - 2.5.8'!D$333</f>
        <v>2.9490876601343232</v>
      </c>
      <c r="C40" s="403">
        <f>'Exhibits 2.5.3 - 2.5.8'!E$333</f>
        <v>1.5174845975812867</v>
      </c>
      <c r="D40" s="403">
        <f>'Exhibits 2.5.3 - 2.5.8'!F$333</f>
        <v>1.2415185411281784</v>
      </c>
      <c r="E40" s="403">
        <f>'Exhibits 2.5.3 - 2.5.8'!G$333</f>
        <v>1.1239336435469252</v>
      </c>
      <c r="F40" s="403">
        <f>'Exhibits 2.5.3 - 2.5.8'!H$333</f>
        <v>1.0698391947076176</v>
      </c>
      <c r="G40" s="403">
        <f>'Exhibits 2.5.3 - 2.5.8'!I$333</f>
        <v>1.0419534478237984</v>
      </c>
      <c r="H40" s="215"/>
      <c r="I40" s="215"/>
      <c r="J40" s="215"/>
      <c r="K40" s="341"/>
      <c r="L40" s="341"/>
      <c r="M40" s="341"/>
      <c r="N40" s="341"/>
      <c r="O40" s="341"/>
      <c r="P40" s="341"/>
      <c r="Q40" s="341"/>
      <c r="R40" s="341"/>
      <c r="S40" s="341"/>
      <c r="T40" s="341"/>
      <c r="U40" s="341"/>
      <c r="V40" s="341"/>
      <c r="W40" s="341"/>
    </row>
    <row r="41" spans="1:23">
      <c r="A41" s="229"/>
      <c r="B41" s="229" t="str">
        <f t="shared" ref="B41:F41" si="4">RIGHT(B39,2)&amp;"/"&amp;LEFT(B39,FIND("-",B39)-1)</f>
        <v>24/12</v>
      </c>
      <c r="C41" s="229" t="str">
        <f t="shared" si="4"/>
        <v>36/24</v>
      </c>
      <c r="D41" s="229" t="str">
        <f t="shared" si="4"/>
        <v>48/36</v>
      </c>
      <c r="E41" s="229" t="str">
        <f t="shared" si="4"/>
        <v>60/48</v>
      </c>
      <c r="F41" s="229" t="str">
        <f t="shared" si="4"/>
        <v>72/60</v>
      </c>
      <c r="G41" s="229" t="str">
        <f t="shared" ref="G41" si="5">RIGHT(G39,2)&amp;"/"&amp;LEFT(G39,FIND("-",G39)-1)</f>
        <v>84/72</v>
      </c>
      <c r="H41" s="341"/>
      <c r="I41" s="341"/>
      <c r="J41" s="341"/>
      <c r="K41" s="341"/>
      <c r="L41" s="341"/>
      <c r="M41" s="341"/>
      <c r="N41" s="341"/>
      <c r="O41" s="341"/>
      <c r="P41" s="341"/>
      <c r="Q41" s="341"/>
      <c r="R41" s="341"/>
      <c r="S41" s="341"/>
      <c r="T41" s="341"/>
      <c r="U41" s="341"/>
      <c r="V41" s="341"/>
      <c r="W41" s="341"/>
    </row>
  </sheetData>
  <pageMargins left="0.7" right="0.7" top="0.75" bottom="0.75" header="0.3" footer="0.3"/>
  <pageSetup scale="66" fitToHeight="0" orientation="landscape" blackAndWhite="1" horizontalDpi="1200" verticalDpi="120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R33"/>
  <sheetViews>
    <sheetView zoomScaleNormal="100" zoomScaleSheetLayoutView="100" workbookViewId="0"/>
  </sheetViews>
  <sheetFormatPr defaultColWidth="9.1796875" defaultRowHeight="12.5"/>
  <cols>
    <col min="1" max="1" width="13.54296875" style="85" bestFit="1" customWidth="1"/>
    <col min="2" max="2" width="8" style="85" customWidth="1"/>
    <col min="3" max="3" width="8" style="214" customWidth="1"/>
    <col min="4" max="4" width="8" style="85" customWidth="1"/>
    <col min="5" max="5" width="9.1796875" style="85" customWidth="1"/>
    <col min="6" max="14" width="8" style="85" customWidth="1"/>
    <col min="15" max="16" width="8" style="229" customWidth="1"/>
    <col min="17" max="17" width="8" style="166" customWidth="1"/>
    <col min="18" max="18" width="14.81640625" style="85" bestFit="1" customWidth="1"/>
    <col min="19" max="16384" width="9.1796875" style="85"/>
  </cols>
  <sheetData>
    <row r="1" spans="1:18" ht="12.75" customHeight="1">
      <c r="A1" s="220" t="str">
        <f>+'Exhibit 2.5.1'!A1&amp;" (Continued)"</f>
        <v>Selected Indemnity Development Factors - Paid to Ultimate (Continued)</v>
      </c>
      <c r="B1" s="220"/>
      <c r="C1" s="220"/>
      <c r="D1" s="220"/>
      <c r="E1" s="220"/>
      <c r="F1" s="220"/>
      <c r="G1" s="220"/>
      <c r="H1" s="220"/>
      <c r="I1" s="220"/>
      <c r="J1" s="220"/>
      <c r="K1" s="220"/>
      <c r="L1" s="220"/>
      <c r="M1" s="220"/>
      <c r="N1" s="220"/>
      <c r="O1" s="220"/>
      <c r="P1" s="220"/>
      <c r="Q1" s="220"/>
      <c r="R1" s="220"/>
    </row>
    <row r="2" spans="1:18" ht="13">
      <c r="A2" s="343"/>
      <c r="B2" s="226"/>
      <c r="C2" s="226"/>
      <c r="D2" s="226"/>
      <c r="E2" s="226"/>
      <c r="F2" s="226"/>
      <c r="G2" s="226"/>
      <c r="H2" s="226"/>
      <c r="I2" s="226"/>
      <c r="J2" s="226"/>
      <c r="K2" s="226"/>
      <c r="L2" s="226"/>
      <c r="M2" s="215"/>
      <c r="N2" s="226"/>
      <c r="O2" s="226"/>
      <c r="P2" s="226"/>
      <c r="Q2" s="226"/>
      <c r="R2" s="226"/>
    </row>
    <row r="3" spans="1:18">
      <c r="A3" s="343"/>
      <c r="B3" s="221" t="s">
        <v>18</v>
      </c>
      <c r="C3" s="221"/>
      <c r="D3" s="221"/>
      <c r="E3" s="221"/>
      <c r="F3" s="221"/>
      <c r="G3" s="221"/>
      <c r="H3" s="221"/>
      <c r="I3" s="221"/>
      <c r="J3" s="221"/>
      <c r="K3" s="221"/>
      <c r="L3" s="221"/>
      <c r="M3" s="221"/>
      <c r="N3" s="221"/>
      <c r="O3" s="221"/>
      <c r="P3" s="221"/>
      <c r="Q3" s="221"/>
      <c r="R3" s="221"/>
    </row>
    <row r="4" spans="1:18">
      <c r="A4" s="216" t="s">
        <v>19</v>
      </c>
      <c r="B4" s="216" t="s">
        <v>528</v>
      </c>
      <c r="C4" s="216" t="s">
        <v>529</v>
      </c>
      <c r="D4" s="216" t="s">
        <v>530</v>
      </c>
      <c r="E4" s="216" t="s">
        <v>531</v>
      </c>
      <c r="F4" s="216" t="s">
        <v>532</v>
      </c>
      <c r="G4" s="216" t="s">
        <v>533</v>
      </c>
      <c r="H4" s="216" t="s">
        <v>534</v>
      </c>
      <c r="I4" s="216" t="s">
        <v>535</v>
      </c>
      <c r="J4" s="216" t="s">
        <v>536</v>
      </c>
      <c r="K4" s="216" t="s">
        <v>537</v>
      </c>
      <c r="L4" s="216" t="s">
        <v>538</v>
      </c>
      <c r="M4" s="216" t="s">
        <v>539</v>
      </c>
      <c r="N4" s="216" t="s">
        <v>540</v>
      </c>
      <c r="O4" s="216" t="s">
        <v>541</v>
      </c>
      <c r="P4" s="216" t="s">
        <v>542</v>
      </c>
      <c r="Q4" s="216" t="s">
        <v>543</v>
      </c>
      <c r="R4" s="216" t="s">
        <v>548</v>
      </c>
    </row>
    <row r="5" spans="1:18">
      <c r="A5" s="213">
        <f t="shared" ref="A5:A20" si="0">+A6-1</f>
        <v>1983</v>
      </c>
      <c r="B5" s="402" t="s">
        <v>34</v>
      </c>
      <c r="C5" s="402" t="s">
        <v>34</v>
      </c>
      <c r="D5" s="402" t="s">
        <v>34</v>
      </c>
      <c r="E5" s="402" t="s">
        <v>34</v>
      </c>
      <c r="F5" s="402">
        <v>1.0009999999999999</v>
      </c>
      <c r="G5" s="402">
        <v>1.0009999999999999</v>
      </c>
      <c r="H5" s="402">
        <v>1.0009999999999999</v>
      </c>
      <c r="I5" s="402">
        <v>1.0009999999999999</v>
      </c>
      <c r="J5" s="402">
        <v>1.0009999999999999</v>
      </c>
      <c r="K5" s="402">
        <v>1.0009999999999999</v>
      </c>
      <c r="L5" s="402">
        <v>1.0009999999999999</v>
      </c>
      <c r="M5" s="402">
        <v>1.0009999999999999</v>
      </c>
      <c r="N5" s="402">
        <v>1.0009999999999999</v>
      </c>
      <c r="O5" s="402">
        <v>1.0009999999999999</v>
      </c>
      <c r="P5" s="402">
        <v>1.0009999999999999</v>
      </c>
      <c r="Q5" s="402">
        <v>1</v>
      </c>
      <c r="R5" s="402"/>
    </row>
    <row r="6" spans="1:18" s="229" customFormat="1">
      <c r="A6" s="213">
        <f t="shared" si="0"/>
        <v>1984</v>
      </c>
      <c r="B6" s="402" t="s">
        <v>34</v>
      </c>
      <c r="C6" s="402" t="s">
        <v>34</v>
      </c>
      <c r="D6" s="402" t="s">
        <v>34</v>
      </c>
      <c r="E6" s="402">
        <v>1.0009999999999999</v>
      </c>
      <c r="F6" s="402">
        <v>1.0009999999999999</v>
      </c>
      <c r="G6" s="402">
        <v>1.0009999999999999</v>
      </c>
      <c r="H6" s="402">
        <v>1.0009999999999999</v>
      </c>
      <c r="I6" s="402">
        <v>1.0009999999999999</v>
      </c>
      <c r="J6" s="402">
        <v>1.0009999999999999</v>
      </c>
      <c r="K6" s="402">
        <v>1</v>
      </c>
      <c r="L6" s="402">
        <v>1.0009999999999999</v>
      </c>
      <c r="M6" s="402">
        <v>1</v>
      </c>
      <c r="N6" s="402">
        <v>1.0009999999999999</v>
      </c>
      <c r="O6" s="402">
        <v>1.0009999999999999</v>
      </c>
      <c r="P6" s="402">
        <v>1</v>
      </c>
      <c r="Q6" s="402">
        <v>1.0009999999999999</v>
      </c>
      <c r="R6" s="402"/>
    </row>
    <row r="7" spans="1:18" s="229" customFormat="1">
      <c r="A7" s="213">
        <f t="shared" si="0"/>
        <v>1985</v>
      </c>
      <c r="B7" s="402" t="s">
        <v>34</v>
      </c>
      <c r="C7" s="402" t="s">
        <v>34</v>
      </c>
      <c r="D7" s="402">
        <v>1.0009999999999999</v>
      </c>
      <c r="E7" s="402">
        <v>1.0009999999999999</v>
      </c>
      <c r="F7" s="402">
        <v>1.0009999999999999</v>
      </c>
      <c r="G7" s="402">
        <v>1.0009999999999999</v>
      </c>
      <c r="H7" s="402">
        <v>1.002</v>
      </c>
      <c r="I7" s="402">
        <v>1.0009999999999999</v>
      </c>
      <c r="J7" s="402">
        <v>1.0009999999999999</v>
      </c>
      <c r="K7" s="402">
        <v>1.0009999999999999</v>
      </c>
      <c r="L7" s="402">
        <v>1.0009999999999999</v>
      </c>
      <c r="M7" s="402">
        <v>1</v>
      </c>
      <c r="N7" s="402">
        <v>1</v>
      </c>
      <c r="O7" s="402">
        <v>1</v>
      </c>
      <c r="P7" s="402">
        <v>1.0009999999999999</v>
      </c>
      <c r="Q7" s="402">
        <v>1</v>
      </c>
      <c r="R7" s="402"/>
    </row>
    <row r="8" spans="1:18" s="171" customFormat="1">
      <c r="A8" s="213">
        <f t="shared" si="0"/>
        <v>1986</v>
      </c>
      <c r="B8" s="402" t="s">
        <v>34</v>
      </c>
      <c r="C8" s="402">
        <v>1.0009999999999999</v>
      </c>
      <c r="D8" s="402">
        <v>1.0009999999999999</v>
      </c>
      <c r="E8" s="402">
        <v>1.0009999999999999</v>
      </c>
      <c r="F8" s="402">
        <v>1.0009999999999999</v>
      </c>
      <c r="G8" s="402">
        <v>1.0009999999999999</v>
      </c>
      <c r="H8" s="402">
        <v>1.0009999999999999</v>
      </c>
      <c r="I8" s="402">
        <v>1.0009999999999999</v>
      </c>
      <c r="J8" s="402">
        <v>1.0009999999999999</v>
      </c>
      <c r="K8" s="402">
        <v>1.0009999999999999</v>
      </c>
      <c r="L8" s="402">
        <v>1</v>
      </c>
      <c r="M8" s="402">
        <v>1.0009999999999999</v>
      </c>
      <c r="N8" s="402">
        <v>1.0009999999999999</v>
      </c>
      <c r="O8" s="402">
        <v>1</v>
      </c>
      <c r="P8" s="402">
        <v>1</v>
      </c>
      <c r="Q8" s="402" t="s">
        <v>34</v>
      </c>
      <c r="R8" s="402"/>
    </row>
    <row r="9" spans="1:18">
      <c r="A9" s="213">
        <f t="shared" si="0"/>
        <v>1987</v>
      </c>
      <c r="B9" s="402">
        <v>1.0009999999999999</v>
      </c>
      <c r="C9" s="402">
        <v>1.0009999999999999</v>
      </c>
      <c r="D9" s="402">
        <v>1.0009999999999999</v>
      </c>
      <c r="E9" s="402">
        <v>1.002</v>
      </c>
      <c r="F9" s="402">
        <v>1.0009999999999999</v>
      </c>
      <c r="G9" s="402">
        <v>1.0009999999999999</v>
      </c>
      <c r="H9" s="402">
        <v>1.0009999999999999</v>
      </c>
      <c r="I9" s="402">
        <v>1.0009999999999999</v>
      </c>
      <c r="J9" s="402">
        <v>1.0009999999999999</v>
      </c>
      <c r="K9" s="402">
        <v>1.0009999999999999</v>
      </c>
      <c r="L9" s="402">
        <v>1.0009999999999999</v>
      </c>
      <c r="M9" s="402">
        <v>1.0009999999999999</v>
      </c>
      <c r="N9" s="402">
        <v>1</v>
      </c>
      <c r="O9" s="402">
        <v>1</v>
      </c>
      <c r="P9" s="402" t="s">
        <v>34</v>
      </c>
      <c r="Q9" s="402" t="s">
        <v>34</v>
      </c>
      <c r="R9" s="402"/>
    </row>
    <row r="10" spans="1:18">
      <c r="A10" s="213">
        <f t="shared" si="0"/>
        <v>1988</v>
      </c>
      <c r="B10" s="402">
        <v>1.0009999999999999</v>
      </c>
      <c r="C10" s="402">
        <v>1.002</v>
      </c>
      <c r="D10" s="402">
        <v>1.0009999999999999</v>
      </c>
      <c r="E10" s="402">
        <v>1.0009999999999999</v>
      </c>
      <c r="F10" s="402">
        <v>1.0009999999999999</v>
      </c>
      <c r="G10" s="402">
        <v>1.0009999999999999</v>
      </c>
      <c r="H10" s="402">
        <v>1.0009999999999999</v>
      </c>
      <c r="I10" s="402">
        <v>1.0009999999999999</v>
      </c>
      <c r="J10" s="402">
        <v>1.0009999999999999</v>
      </c>
      <c r="K10" s="402">
        <v>1.0009999999999999</v>
      </c>
      <c r="L10" s="402">
        <v>1.0009999999999999</v>
      </c>
      <c r="M10" s="402">
        <v>1.0009999999999999</v>
      </c>
      <c r="N10" s="402">
        <v>1.0009999999999999</v>
      </c>
      <c r="O10" s="402" t="s">
        <v>34</v>
      </c>
      <c r="P10" s="402" t="s">
        <v>34</v>
      </c>
      <c r="Q10" s="402" t="s">
        <v>34</v>
      </c>
      <c r="R10" s="402"/>
    </row>
    <row r="11" spans="1:18">
      <c r="A11" s="213">
        <f t="shared" si="0"/>
        <v>1989</v>
      </c>
      <c r="B11" s="402">
        <v>1.0009999999999999</v>
      </c>
      <c r="C11" s="402">
        <v>1.0009999999999999</v>
      </c>
      <c r="D11" s="402">
        <v>1.0009999999999999</v>
      </c>
      <c r="E11" s="402">
        <v>1.0009999999999999</v>
      </c>
      <c r="F11" s="402">
        <v>1.0009999999999999</v>
      </c>
      <c r="G11" s="402">
        <v>1.0009999999999999</v>
      </c>
      <c r="H11" s="402">
        <v>1.0009999999999999</v>
      </c>
      <c r="I11" s="402">
        <v>1.0009999999999999</v>
      </c>
      <c r="J11" s="402">
        <v>1.0009999999999999</v>
      </c>
      <c r="K11" s="402">
        <v>1</v>
      </c>
      <c r="L11" s="402">
        <v>1</v>
      </c>
      <c r="M11" s="402">
        <v>1</v>
      </c>
      <c r="N11" s="402" t="s">
        <v>34</v>
      </c>
      <c r="O11" s="402" t="s">
        <v>34</v>
      </c>
      <c r="P11" s="402" t="s">
        <v>34</v>
      </c>
      <c r="Q11" s="402" t="s">
        <v>34</v>
      </c>
      <c r="R11" s="402"/>
    </row>
    <row r="12" spans="1:18">
      <c r="A12" s="213">
        <f t="shared" si="0"/>
        <v>1990</v>
      </c>
      <c r="B12" s="402">
        <v>1.0009999999999999</v>
      </c>
      <c r="C12" s="402">
        <v>1.0009999999999999</v>
      </c>
      <c r="D12" s="402">
        <v>1.0009999999999999</v>
      </c>
      <c r="E12" s="402">
        <v>1.0009999999999999</v>
      </c>
      <c r="F12" s="402">
        <v>1</v>
      </c>
      <c r="G12" s="402">
        <v>1</v>
      </c>
      <c r="H12" s="402">
        <v>1.0009999999999999</v>
      </c>
      <c r="I12" s="402">
        <v>1.0009999999999999</v>
      </c>
      <c r="J12" s="402">
        <v>1.0009999999999999</v>
      </c>
      <c r="K12" s="402">
        <v>1.0009999999999999</v>
      </c>
      <c r="L12" s="402">
        <v>1</v>
      </c>
      <c r="M12" s="402" t="s">
        <v>34</v>
      </c>
      <c r="N12" s="402" t="s">
        <v>34</v>
      </c>
      <c r="O12" s="402" t="s">
        <v>34</v>
      </c>
      <c r="P12" s="402" t="s">
        <v>34</v>
      </c>
      <c r="Q12" s="402" t="s">
        <v>34</v>
      </c>
      <c r="R12" s="402"/>
    </row>
    <row r="13" spans="1:18">
      <c r="A13" s="213">
        <f t="shared" si="0"/>
        <v>1991</v>
      </c>
      <c r="B13" s="402">
        <v>1.0009999999999999</v>
      </c>
      <c r="C13" s="402">
        <v>1.0009999999999999</v>
      </c>
      <c r="D13" s="402">
        <v>1.0009999999999999</v>
      </c>
      <c r="E13" s="402">
        <v>1.0009999999999999</v>
      </c>
      <c r="F13" s="402">
        <v>1.0009999999999999</v>
      </c>
      <c r="G13" s="402">
        <v>1.0009999999999999</v>
      </c>
      <c r="H13" s="402">
        <v>1.0009999999999999</v>
      </c>
      <c r="I13" s="402">
        <v>1.0009999999999999</v>
      </c>
      <c r="J13" s="402">
        <v>1.0009999999999999</v>
      </c>
      <c r="K13" s="402">
        <v>1.0009999999999999</v>
      </c>
      <c r="L13" s="402" t="s">
        <v>34</v>
      </c>
      <c r="M13" s="402" t="s">
        <v>34</v>
      </c>
      <c r="N13" s="402" t="s">
        <v>34</v>
      </c>
      <c r="O13" s="402" t="s">
        <v>34</v>
      </c>
      <c r="P13" s="402" t="s">
        <v>34</v>
      </c>
      <c r="Q13" s="402" t="s">
        <v>34</v>
      </c>
      <c r="R13" s="402"/>
    </row>
    <row r="14" spans="1:18">
      <c r="A14" s="213">
        <f t="shared" si="0"/>
        <v>1992</v>
      </c>
      <c r="B14" s="402">
        <v>1.0009999999999999</v>
      </c>
      <c r="C14" s="402">
        <v>1.0009999999999999</v>
      </c>
      <c r="D14" s="402">
        <v>1.0009999999999999</v>
      </c>
      <c r="E14" s="402">
        <v>1.0009999999999999</v>
      </c>
      <c r="F14" s="402">
        <v>1.0009999999999999</v>
      </c>
      <c r="G14" s="402">
        <v>1.0009999999999999</v>
      </c>
      <c r="H14" s="402">
        <v>1.0009999999999999</v>
      </c>
      <c r="I14" s="402">
        <v>1.0009999999999999</v>
      </c>
      <c r="J14" s="402">
        <v>1.0009999999999999</v>
      </c>
      <c r="K14" s="402" t="s">
        <v>34</v>
      </c>
      <c r="L14" s="402" t="s">
        <v>34</v>
      </c>
      <c r="M14" s="402" t="s">
        <v>34</v>
      </c>
      <c r="N14" s="402" t="s">
        <v>34</v>
      </c>
      <c r="O14" s="402" t="s">
        <v>34</v>
      </c>
      <c r="P14" s="402" t="s">
        <v>34</v>
      </c>
      <c r="Q14" s="402" t="s">
        <v>34</v>
      </c>
      <c r="R14" s="402"/>
    </row>
    <row r="15" spans="1:18">
      <c r="A15" s="213">
        <f t="shared" si="0"/>
        <v>1993</v>
      </c>
      <c r="B15" s="402">
        <v>1.0009999999999999</v>
      </c>
      <c r="C15" s="402">
        <v>1.0009999999999999</v>
      </c>
      <c r="D15" s="402">
        <v>1.0009999999999999</v>
      </c>
      <c r="E15" s="402">
        <v>1.0009999999999999</v>
      </c>
      <c r="F15" s="402">
        <v>1.0009999999999999</v>
      </c>
      <c r="G15" s="402">
        <v>1.0009999999999999</v>
      </c>
      <c r="H15" s="402">
        <v>1.0009999999999999</v>
      </c>
      <c r="I15" s="402">
        <v>1.0009999999999999</v>
      </c>
      <c r="J15" s="402" t="s">
        <v>34</v>
      </c>
      <c r="K15" s="402" t="s">
        <v>34</v>
      </c>
      <c r="L15" s="402" t="s">
        <v>34</v>
      </c>
      <c r="M15" s="402" t="s">
        <v>34</v>
      </c>
      <c r="N15" s="402" t="s">
        <v>34</v>
      </c>
      <c r="O15" s="402" t="s">
        <v>34</v>
      </c>
      <c r="P15" s="402" t="s">
        <v>34</v>
      </c>
      <c r="Q15" s="402" t="s">
        <v>34</v>
      </c>
      <c r="R15" s="402"/>
    </row>
    <row r="16" spans="1:18">
      <c r="A16" s="213">
        <f t="shared" si="0"/>
        <v>1994</v>
      </c>
      <c r="B16" s="402">
        <v>1.002</v>
      </c>
      <c r="C16" s="402">
        <v>1.002</v>
      </c>
      <c r="D16" s="402">
        <v>1.0009999999999999</v>
      </c>
      <c r="E16" s="402">
        <v>1.0009999999999999</v>
      </c>
      <c r="F16" s="402">
        <v>1.0009999999999999</v>
      </c>
      <c r="G16" s="402">
        <v>1.002</v>
      </c>
      <c r="H16" s="402">
        <v>1.0009999999999999</v>
      </c>
      <c r="I16" s="402" t="s">
        <v>34</v>
      </c>
      <c r="J16" s="402" t="s">
        <v>34</v>
      </c>
      <c r="K16" s="402" t="s">
        <v>34</v>
      </c>
      <c r="L16" s="402" t="s">
        <v>34</v>
      </c>
      <c r="M16" s="402" t="s">
        <v>34</v>
      </c>
      <c r="N16" s="402" t="s">
        <v>34</v>
      </c>
      <c r="O16" s="402" t="s">
        <v>34</v>
      </c>
      <c r="P16" s="402" t="s">
        <v>34</v>
      </c>
      <c r="Q16" s="402" t="s">
        <v>34</v>
      </c>
      <c r="R16" s="402"/>
    </row>
    <row r="17" spans="1:18">
      <c r="A17" s="213">
        <f t="shared" si="0"/>
        <v>1995</v>
      </c>
      <c r="B17" s="402">
        <v>1.002</v>
      </c>
      <c r="C17" s="402">
        <v>1.002</v>
      </c>
      <c r="D17" s="402">
        <v>1.0029999999999999</v>
      </c>
      <c r="E17" s="402">
        <v>1.002</v>
      </c>
      <c r="F17" s="402">
        <v>1.002</v>
      </c>
      <c r="G17" s="402">
        <v>1.002</v>
      </c>
      <c r="H17" s="402" t="s">
        <v>34</v>
      </c>
      <c r="I17" s="402" t="s">
        <v>34</v>
      </c>
      <c r="J17" s="402" t="s">
        <v>34</v>
      </c>
      <c r="K17" s="402" t="s">
        <v>34</v>
      </c>
      <c r="L17" s="402" t="s">
        <v>34</v>
      </c>
      <c r="M17" s="402" t="s">
        <v>34</v>
      </c>
      <c r="N17" s="402" t="s">
        <v>34</v>
      </c>
      <c r="O17" s="402" t="s">
        <v>34</v>
      </c>
      <c r="P17" s="402" t="s">
        <v>34</v>
      </c>
      <c r="Q17" s="402" t="s">
        <v>34</v>
      </c>
      <c r="R17" s="402"/>
    </row>
    <row r="18" spans="1:18">
      <c r="A18" s="213">
        <f t="shared" si="0"/>
        <v>1996</v>
      </c>
      <c r="B18" s="402">
        <v>1.0029999999999999</v>
      </c>
      <c r="C18" s="402">
        <v>1.0029999999999999</v>
      </c>
      <c r="D18" s="402">
        <v>1.002</v>
      </c>
      <c r="E18" s="402">
        <v>1.002</v>
      </c>
      <c r="F18" s="402">
        <v>1.002</v>
      </c>
      <c r="G18" s="402" t="s">
        <v>34</v>
      </c>
      <c r="H18" s="402" t="s">
        <v>34</v>
      </c>
      <c r="I18" s="402" t="s">
        <v>34</v>
      </c>
      <c r="J18" s="402" t="s">
        <v>34</v>
      </c>
      <c r="K18" s="402" t="s">
        <v>34</v>
      </c>
      <c r="L18" s="402" t="s">
        <v>34</v>
      </c>
      <c r="M18" s="402" t="s">
        <v>34</v>
      </c>
      <c r="N18" s="402" t="s">
        <v>34</v>
      </c>
      <c r="O18" s="402" t="s">
        <v>34</v>
      </c>
      <c r="P18" s="402" t="s">
        <v>34</v>
      </c>
      <c r="Q18" s="402" t="s">
        <v>34</v>
      </c>
      <c r="R18" s="402"/>
    </row>
    <row r="19" spans="1:18">
      <c r="A19" s="213">
        <f t="shared" si="0"/>
        <v>1997</v>
      </c>
      <c r="B19" s="402">
        <v>1.0029999999999999</v>
      </c>
      <c r="C19" s="402">
        <v>1.0029999999999999</v>
      </c>
      <c r="D19" s="402">
        <v>1.002</v>
      </c>
      <c r="E19" s="402">
        <v>1.002</v>
      </c>
      <c r="F19" s="402" t="s">
        <v>34</v>
      </c>
      <c r="G19" s="402" t="s">
        <v>34</v>
      </c>
      <c r="H19" s="402" t="s">
        <v>34</v>
      </c>
      <c r="I19" s="402" t="s">
        <v>34</v>
      </c>
      <c r="J19" s="402" t="s">
        <v>34</v>
      </c>
      <c r="K19" s="402" t="s">
        <v>34</v>
      </c>
      <c r="L19" s="402" t="s">
        <v>34</v>
      </c>
      <c r="M19" s="402" t="s">
        <v>34</v>
      </c>
      <c r="N19" s="402" t="s">
        <v>34</v>
      </c>
      <c r="O19" s="402" t="s">
        <v>34</v>
      </c>
      <c r="P19" s="402" t="s">
        <v>34</v>
      </c>
      <c r="Q19" s="402" t="s">
        <v>34</v>
      </c>
      <c r="R19" s="402"/>
    </row>
    <row r="20" spans="1:18">
      <c r="A20" s="213">
        <f t="shared" si="0"/>
        <v>1998</v>
      </c>
      <c r="B20" s="402">
        <v>1.0029999999999999</v>
      </c>
      <c r="C20" s="402">
        <v>1.002</v>
      </c>
      <c r="D20" s="402">
        <v>1.002</v>
      </c>
      <c r="E20" s="402" t="s">
        <v>34</v>
      </c>
      <c r="F20" s="402" t="s">
        <v>34</v>
      </c>
      <c r="G20" s="402" t="s">
        <v>34</v>
      </c>
      <c r="H20" s="402" t="s">
        <v>34</v>
      </c>
      <c r="I20" s="402" t="s">
        <v>34</v>
      </c>
      <c r="J20" s="402" t="s">
        <v>34</v>
      </c>
      <c r="K20" s="402" t="s">
        <v>34</v>
      </c>
      <c r="L20" s="402" t="s">
        <v>34</v>
      </c>
      <c r="M20" s="402" t="s">
        <v>34</v>
      </c>
      <c r="N20" s="402" t="s">
        <v>34</v>
      </c>
      <c r="O20" s="402" t="s">
        <v>34</v>
      </c>
      <c r="P20" s="402" t="s">
        <v>34</v>
      </c>
      <c r="Q20" s="402" t="s">
        <v>34</v>
      </c>
      <c r="R20" s="402"/>
    </row>
    <row r="21" spans="1:18">
      <c r="A21" s="213">
        <f>+A22-1</f>
        <v>1999</v>
      </c>
      <c r="B21" s="402">
        <v>1.002</v>
      </c>
      <c r="C21" s="402">
        <v>1.002</v>
      </c>
      <c r="D21" s="402" t="s">
        <v>34</v>
      </c>
      <c r="E21" s="402" t="s">
        <v>34</v>
      </c>
      <c r="F21" s="402" t="s">
        <v>34</v>
      </c>
      <c r="G21" s="402" t="s">
        <v>34</v>
      </c>
      <c r="H21" s="402" t="s">
        <v>34</v>
      </c>
      <c r="I21" s="402" t="s">
        <v>34</v>
      </c>
      <c r="J21" s="402" t="s">
        <v>34</v>
      </c>
      <c r="K21" s="402" t="s">
        <v>34</v>
      </c>
      <c r="L21" s="402" t="s">
        <v>34</v>
      </c>
      <c r="M21" s="402" t="s">
        <v>34</v>
      </c>
      <c r="N21" s="402" t="s">
        <v>34</v>
      </c>
      <c r="O21" s="402" t="s">
        <v>34</v>
      </c>
      <c r="P21" s="402" t="s">
        <v>34</v>
      </c>
      <c r="Q21" s="402" t="s">
        <v>34</v>
      </c>
      <c r="R21" s="402"/>
    </row>
    <row r="22" spans="1:18">
      <c r="A22" s="213">
        <f>'Exhibit 2.5.1'!A9</f>
        <v>2000</v>
      </c>
      <c r="B22" s="402">
        <v>1.002</v>
      </c>
      <c r="C22" s="402" t="s">
        <v>34</v>
      </c>
      <c r="D22" s="402" t="s">
        <v>34</v>
      </c>
      <c r="E22" s="402" t="s">
        <v>34</v>
      </c>
      <c r="F22" s="402" t="s">
        <v>34</v>
      </c>
      <c r="G22" s="402" t="s">
        <v>34</v>
      </c>
      <c r="H22" s="402" t="s">
        <v>34</v>
      </c>
      <c r="I22" s="402" t="s">
        <v>34</v>
      </c>
      <c r="J22" s="402" t="s">
        <v>34</v>
      </c>
      <c r="K22" s="402" t="s">
        <v>34</v>
      </c>
      <c r="L22" s="402" t="s">
        <v>34</v>
      </c>
      <c r="M22" s="402" t="s">
        <v>34</v>
      </c>
      <c r="N22" s="402" t="s">
        <v>34</v>
      </c>
      <c r="O22" s="402" t="s">
        <v>34</v>
      </c>
      <c r="P22" s="402" t="s">
        <v>34</v>
      </c>
      <c r="Q22" s="402" t="s">
        <v>34</v>
      </c>
      <c r="R22" s="402"/>
    </row>
    <row r="23" spans="1:18">
      <c r="A23" s="213"/>
      <c r="B23" s="215"/>
      <c r="C23" s="215"/>
      <c r="D23" s="215"/>
      <c r="E23" s="215"/>
      <c r="F23" s="215"/>
      <c r="G23" s="215"/>
      <c r="H23" s="215"/>
      <c r="I23" s="215"/>
      <c r="J23" s="215"/>
      <c r="K23" s="215"/>
      <c r="L23" s="215"/>
      <c r="M23" s="215"/>
      <c r="N23" s="215"/>
      <c r="O23" s="215"/>
      <c r="P23" s="215"/>
      <c r="Q23" s="215"/>
      <c r="R23" s="215"/>
    </row>
    <row r="24" spans="1:18">
      <c r="A24" s="343"/>
      <c r="B24" s="215"/>
      <c r="C24" s="215"/>
      <c r="D24" s="215"/>
      <c r="E24" s="215"/>
      <c r="F24" s="215"/>
      <c r="G24" s="215"/>
      <c r="H24" s="215"/>
      <c r="I24" s="215"/>
      <c r="J24" s="215"/>
      <c r="K24" s="215"/>
      <c r="L24" s="215"/>
      <c r="M24" s="215"/>
      <c r="N24" s="215"/>
      <c r="O24" s="215"/>
      <c r="P24" s="215"/>
      <c r="Q24" s="215"/>
      <c r="R24" s="215"/>
    </row>
    <row r="25" spans="1:18" s="178" customFormat="1">
      <c r="A25" s="213" t="s">
        <v>58</v>
      </c>
      <c r="B25" s="215">
        <f ca="1">AVERAGE(OFFSET(B$21:B$23,-COUNTA($B$4:B$4),0))</f>
        <v>1.0023333333333333</v>
      </c>
      <c r="C25" s="215">
        <f ca="1">AVERAGE(OFFSET(C$21:C$23,-COUNTA($B$4:C$4),0))</f>
        <v>1.0023333333333333</v>
      </c>
      <c r="D25" s="215">
        <f ca="1">AVERAGE(OFFSET(D$21:D$23,-COUNTA($B$4:D$4),0))</f>
        <v>1.002</v>
      </c>
      <c r="E25" s="215">
        <f ca="1">AVERAGE(OFFSET(E$21:E$23,-COUNTA($B$4:E$4),0))</f>
        <v>1.002</v>
      </c>
      <c r="F25" s="215">
        <f ca="1">AVERAGE(OFFSET(F$21:F$23,-COUNTA($B$4:F$4),0))</f>
        <v>1.0016666666666667</v>
      </c>
      <c r="G25" s="215">
        <f ca="1">AVERAGE(OFFSET(G$21:G$23,-COUNTA($B$4:G$4),0))</f>
        <v>1.0016666666666667</v>
      </c>
      <c r="H25" s="215">
        <f ca="1">AVERAGE(OFFSET(H$21:H$23,-COUNTA($B$4:H$4),0))</f>
        <v>1.0009999999999999</v>
      </c>
      <c r="I25" s="215">
        <f ca="1">AVERAGE(OFFSET(I$21:I$23,-COUNTA($B$4:I$4),0))</f>
        <v>1.0009999999999999</v>
      </c>
      <c r="J25" s="215">
        <f ca="1">AVERAGE(OFFSET(J$21:J$23,-COUNTA($B$4:J$4),0))</f>
        <v>1.0009999999999999</v>
      </c>
      <c r="K25" s="215">
        <f ca="1">AVERAGE(OFFSET(K$21:K$23,-COUNTA($B$4:K$4),0))</f>
        <v>1.0006666666666666</v>
      </c>
      <c r="L25" s="215">
        <f ca="1">AVERAGE(OFFSET(L$21:L$23,-COUNTA($B$4:L$4),0))</f>
        <v>1.0003333333333333</v>
      </c>
      <c r="M25" s="215">
        <f ca="1">AVERAGE(OFFSET(M$21:M$23,-COUNTA($B$4:M$4),0))</f>
        <v>1.0006666666666666</v>
      </c>
      <c r="N25" s="215">
        <f ca="1">AVERAGE(OFFSET(N$21:N$23,-COUNTA($B$4:N$4),0))</f>
        <v>1.0006666666666666</v>
      </c>
      <c r="O25" s="215">
        <f ca="1">AVERAGE(OFFSET(O$21:O$23,-COUNTA($B$4:O$4),0))</f>
        <v>1</v>
      </c>
      <c r="P25" s="215">
        <f ca="1">AVERAGE(OFFSET(P$21:P$23,-COUNTA($B$4:P$4),0))</f>
        <v>1.0003333333333333</v>
      </c>
      <c r="Q25" s="215">
        <f ca="1">AVERAGE(OFFSET(Q$21:Q$23,-COUNTA($B$4:Q$4),0))</f>
        <v>1.0003333333333333</v>
      </c>
      <c r="R25" s="402">
        <v>1.0089999999999999</v>
      </c>
    </row>
    <row r="26" spans="1:18">
      <c r="A26" s="213" t="s">
        <v>36</v>
      </c>
      <c r="B26" s="8">
        <f ca="1">B25</f>
        <v>1.0023333333333333</v>
      </c>
      <c r="C26" s="8">
        <f ca="1">C25</f>
        <v>1.0023333333333333</v>
      </c>
      <c r="D26" s="8">
        <f ca="1">D25</f>
        <v>1.002</v>
      </c>
      <c r="E26" s="500">
        <f ca="1">'Exhibits 2.5.9 - 2.5.12'!C206</f>
        <v>1.0015222311835648</v>
      </c>
      <c r="F26" s="500">
        <f ca="1">'Exhibits 2.5.9 - 2.5.12'!D206</f>
        <v>1.0012836966323986</v>
      </c>
      <c r="G26" s="500">
        <f ca="1">'Exhibits 2.5.9 - 2.5.12'!E206</f>
        <v>1.0013069558191054</v>
      </c>
      <c r="H26" s="500">
        <f ca="1">'Exhibits 2.5.9 - 2.5.12'!F206</f>
        <v>1.0008034403814576</v>
      </c>
      <c r="I26" s="500">
        <f ca="1">'Exhibits 2.5.9 - 2.5.12'!G206</f>
        <v>1.0008352979128377</v>
      </c>
      <c r="J26" s="500">
        <f ca="1">'Exhibits 2.5.9 - 2.5.12'!H206</f>
        <v>1.0008644107700559</v>
      </c>
      <c r="K26" s="500">
        <f ca="1">'Exhibits 2.5.9 - 2.5.12'!I206</f>
        <v>1.0005956685271673</v>
      </c>
      <c r="L26" s="500">
        <f ca="1">'Exhibits 2.5.9 - 2.5.12'!J206</f>
        <v>1.0002956888493031</v>
      </c>
      <c r="M26" s="500">
        <f ca="1">'Exhibits 2.5.9 - 2.5.12'!K206</f>
        <v>1.000598160889117</v>
      </c>
      <c r="N26" s="402">
        <v>1.0009999999999999</v>
      </c>
      <c r="O26" s="402">
        <v>1</v>
      </c>
      <c r="P26" s="402">
        <v>1.0002926394628899</v>
      </c>
      <c r="Q26" s="402">
        <v>1.0002926394628899</v>
      </c>
      <c r="R26" s="215">
        <f>R27</f>
        <v>1.0062931799192043</v>
      </c>
    </row>
    <row r="27" spans="1:18">
      <c r="A27" s="213" t="s">
        <v>24</v>
      </c>
      <c r="B27" s="215">
        <f ca="1">B26*C27</f>
        <v>1.0228764014786342</v>
      </c>
      <c r="C27" s="215">
        <f t="shared" ref="C27:Q27" ca="1" si="1">C26*D27</f>
        <v>1.0204952459048562</v>
      </c>
      <c r="D27" s="215">
        <f t="shared" ca="1" si="1"/>
        <v>1.0181196334268603</v>
      </c>
      <c r="E27" s="215">
        <f t="shared" ca="1" si="1"/>
        <v>1.0160874585098405</v>
      </c>
      <c r="F27" s="215">
        <f t="shared" ca="1" si="1"/>
        <v>1.014543089382113</v>
      </c>
      <c r="G27" s="215">
        <f t="shared" ca="1" si="1"/>
        <v>1.0132423935337302</v>
      </c>
      <c r="H27" s="215">
        <f t="shared" ca="1" si="1"/>
        <v>1.0119198589855607</v>
      </c>
      <c r="I27" s="215">
        <f t="shared" ca="1" si="1"/>
        <v>1.0111074943945697</v>
      </c>
      <c r="J27" s="215">
        <f t="shared" ca="1" si="1"/>
        <v>1.0102636232986126</v>
      </c>
      <c r="K27" s="215">
        <f t="shared" ca="1" si="1"/>
        <v>1.009391094765099</v>
      </c>
      <c r="L27" s="215">
        <f t="shared" ca="1" si="1"/>
        <v>1.0087901901982828</v>
      </c>
      <c r="M27" s="215">
        <f t="shared" ca="1" si="1"/>
        <v>1.0084919903621212</v>
      </c>
      <c r="N27" s="215">
        <f t="shared" si="1"/>
        <v>1.0078891105156438</v>
      </c>
      <c r="O27" s="215">
        <f t="shared" si="1"/>
        <v>1.0068822282873566</v>
      </c>
      <c r="P27" s="215">
        <f t="shared" si="1"/>
        <v>1.0068822282873566</v>
      </c>
      <c r="Q27" s="215">
        <f t="shared" si="1"/>
        <v>1.0065876610148856</v>
      </c>
      <c r="R27" s="402">
        <v>1.0062931799192043</v>
      </c>
    </row>
    <row r="28" spans="1:18">
      <c r="A28" s="343"/>
      <c r="B28" s="215"/>
      <c r="C28" s="215"/>
      <c r="D28" s="215"/>
      <c r="E28" s="215"/>
      <c r="F28" s="215"/>
      <c r="G28" s="215"/>
      <c r="H28" s="215"/>
      <c r="I28" s="215"/>
      <c r="J28" s="215"/>
      <c r="K28" s="215"/>
      <c r="L28" s="215"/>
      <c r="M28" s="215"/>
      <c r="N28" s="215"/>
      <c r="O28" s="215"/>
      <c r="P28" s="215"/>
      <c r="Q28" s="215"/>
      <c r="R28" s="215"/>
    </row>
    <row r="29" spans="1:18" ht="12.75" customHeight="1">
      <c r="A29" s="3" t="s">
        <v>26</v>
      </c>
      <c r="B29" s="224" t="s">
        <v>492</v>
      </c>
      <c r="C29" s="227"/>
      <c r="D29" s="227"/>
      <c r="E29" s="227"/>
      <c r="F29" s="227"/>
      <c r="G29" s="227"/>
      <c r="H29" s="227"/>
      <c r="I29" s="227"/>
      <c r="J29" s="227"/>
      <c r="K29" s="227"/>
      <c r="L29" s="227"/>
      <c r="M29" s="227"/>
      <c r="N29" s="227"/>
      <c r="O29" s="227"/>
      <c r="P29" s="227"/>
      <c r="Q29" s="227"/>
      <c r="R29" s="227"/>
    </row>
    <row r="30" spans="1:18" ht="12.75" customHeight="1">
      <c r="A30" s="3" t="s">
        <v>30</v>
      </c>
      <c r="B30" s="224" t="s">
        <v>493</v>
      </c>
      <c r="C30" s="227"/>
      <c r="D30" s="227"/>
      <c r="E30" s="227"/>
      <c r="F30" s="227"/>
      <c r="G30" s="227"/>
      <c r="H30" s="227"/>
      <c r="I30" s="227"/>
      <c r="J30" s="227"/>
      <c r="K30" s="227"/>
      <c r="L30" s="227"/>
      <c r="M30" s="227"/>
      <c r="N30" s="227"/>
      <c r="O30" s="227"/>
      <c r="P30" s="227"/>
      <c r="Q30" s="227"/>
      <c r="R30" s="227"/>
    </row>
    <row r="31" spans="1:18">
      <c r="A31" s="341"/>
      <c r="B31" s="224" t="s">
        <v>494</v>
      </c>
      <c r="C31" s="341"/>
      <c r="D31" s="341"/>
      <c r="E31" s="341"/>
      <c r="F31" s="341"/>
      <c r="G31" s="341"/>
      <c r="H31" s="341"/>
      <c r="I31" s="341"/>
      <c r="J31" s="341"/>
      <c r="K31" s="341"/>
      <c r="L31" s="341"/>
      <c r="M31" s="341"/>
      <c r="N31" s="341"/>
      <c r="O31" s="341"/>
      <c r="P31" s="387"/>
      <c r="Q31" s="341"/>
      <c r="R31" s="341"/>
    </row>
    <row r="32" spans="1:18">
      <c r="A32" s="341"/>
      <c r="B32" s="224"/>
      <c r="C32" s="341"/>
      <c r="D32" s="341"/>
      <c r="E32" s="341"/>
      <c r="F32" s="341"/>
      <c r="G32" s="341"/>
      <c r="H32" s="341"/>
      <c r="I32" s="341"/>
      <c r="J32" s="341"/>
      <c r="K32" s="341"/>
      <c r="L32" s="341"/>
      <c r="M32" s="341"/>
      <c r="N32" s="341"/>
      <c r="O32" s="341"/>
      <c r="P32" s="387"/>
      <c r="Q32" s="341"/>
      <c r="R32" s="341"/>
    </row>
    <row r="33" spans="1:18">
      <c r="A33" s="341"/>
      <c r="B33" s="224"/>
      <c r="C33" s="341"/>
      <c r="D33" s="341"/>
      <c r="E33" s="341"/>
      <c r="F33" s="341"/>
      <c r="G33" s="341"/>
      <c r="H33" s="341"/>
      <c r="I33" s="341"/>
      <c r="J33" s="341"/>
      <c r="K33" s="341"/>
      <c r="L33" s="341"/>
      <c r="M33" s="341"/>
      <c r="N33" s="341"/>
      <c r="O33" s="341"/>
      <c r="P33" s="387"/>
      <c r="Q33" s="341"/>
      <c r="R33" s="341"/>
    </row>
  </sheetData>
  <pageMargins left="0.7" right="0.7" top="0.75" bottom="0.75" header="0.3" footer="0.3"/>
  <pageSetup scale="77" orientation="landscape" blackAndWhite="1" horizontalDpi="1200" verticalDpi="1200"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P343"/>
  <sheetViews>
    <sheetView zoomScaleNormal="100" zoomScaleSheetLayoutView="84" workbookViewId="0"/>
  </sheetViews>
  <sheetFormatPr defaultRowHeight="14.5"/>
  <cols>
    <col min="1" max="1" width="8.81640625" customWidth="1"/>
    <col min="2" max="2" width="7.81640625" customWidth="1"/>
    <col min="3" max="3" width="15.81640625" bestFit="1" customWidth="1"/>
    <col min="4" max="11" width="10" customWidth="1"/>
    <col min="12" max="12" width="12.81640625" customWidth="1"/>
    <col min="13" max="13" width="11.1796875" style="56" bestFit="1" customWidth="1"/>
    <col min="14" max="16" width="9.1796875" style="56"/>
  </cols>
  <sheetData>
    <row r="1" spans="1:16" ht="45" customHeight="1">
      <c r="A1" s="203"/>
      <c r="B1" s="203"/>
      <c r="C1" s="203"/>
      <c r="D1" s="203"/>
      <c r="E1" s="203"/>
      <c r="F1" s="203"/>
      <c r="G1" s="203"/>
      <c r="H1" s="203"/>
      <c r="I1" s="203"/>
      <c r="J1" s="203"/>
      <c r="K1" s="203"/>
      <c r="L1" s="46" t="s">
        <v>350</v>
      </c>
      <c r="M1" s="57"/>
      <c r="N1" s="57"/>
      <c r="O1" s="57"/>
      <c r="P1" s="57"/>
    </row>
    <row r="2" spans="1:16" ht="12.75" customHeight="1">
      <c r="A2" s="122" t="s">
        <v>31</v>
      </c>
      <c r="B2" s="122"/>
      <c r="C2" s="122"/>
      <c r="D2" s="122"/>
      <c r="E2" s="122"/>
      <c r="F2" s="122"/>
      <c r="G2" s="122"/>
      <c r="H2" s="122"/>
      <c r="I2" s="122"/>
      <c r="J2" s="122"/>
      <c r="K2" s="122"/>
      <c r="L2" s="122"/>
      <c r="M2" s="57"/>
      <c r="N2" s="218"/>
      <c r="O2" s="57"/>
      <c r="P2" s="57"/>
    </row>
    <row r="3" spans="1:16" ht="12.75" customHeight="1">
      <c r="A3" s="122" t="s">
        <v>240</v>
      </c>
      <c r="B3" s="122"/>
      <c r="C3" s="122"/>
      <c r="D3" s="122"/>
      <c r="E3" s="122"/>
      <c r="F3" s="122"/>
      <c r="G3" s="122"/>
      <c r="H3" s="122"/>
      <c r="I3" s="122"/>
      <c r="J3" s="122"/>
      <c r="K3" s="122"/>
      <c r="L3" s="122"/>
      <c r="M3" s="57"/>
      <c r="N3" s="57"/>
      <c r="O3" s="57"/>
      <c r="P3" s="57"/>
    </row>
    <row r="4" spans="1:16" ht="12.75" customHeight="1">
      <c r="A4" s="122" t="s">
        <v>241</v>
      </c>
      <c r="B4" s="122"/>
      <c r="C4" s="122"/>
      <c r="D4" s="122"/>
      <c r="E4" s="122"/>
      <c r="F4" s="122"/>
      <c r="G4" s="122"/>
      <c r="H4" s="122"/>
      <c r="I4" s="122"/>
      <c r="J4" s="122"/>
      <c r="K4" s="122"/>
      <c r="L4" s="122"/>
      <c r="M4" s="57"/>
      <c r="N4" s="57"/>
      <c r="O4" s="57"/>
      <c r="P4" s="57"/>
    </row>
    <row r="5" spans="1:16">
      <c r="A5" s="218"/>
      <c r="B5" s="218"/>
      <c r="C5" s="218"/>
      <c r="D5" s="218"/>
      <c r="E5" s="218"/>
      <c r="F5" s="218"/>
      <c r="G5" s="218"/>
      <c r="H5" s="218"/>
      <c r="I5" s="218"/>
      <c r="J5" s="203"/>
      <c r="K5" s="203"/>
      <c r="L5" s="203"/>
      <c r="M5" s="57"/>
      <c r="N5" s="57"/>
      <c r="O5" s="57"/>
      <c r="P5" s="57"/>
    </row>
    <row r="6" spans="1:16">
      <c r="A6" s="511" t="s">
        <v>242</v>
      </c>
      <c r="B6" s="511"/>
      <c r="C6" s="511"/>
      <c r="D6" s="511"/>
      <c r="E6" s="511"/>
      <c r="F6" s="511"/>
      <c r="G6" s="511"/>
      <c r="H6" s="511"/>
      <c r="I6" s="511"/>
      <c r="J6" s="511"/>
      <c r="K6" s="117"/>
      <c r="L6" s="203"/>
      <c r="M6" s="57"/>
      <c r="N6" s="57"/>
      <c r="O6" s="57"/>
      <c r="P6" s="57"/>
    </row>
    <row r="7" spans="1:16">
      <c r="A7" s="218"/>
      <c r="B7" s="218"/>
      <c r="C7" s="218"/>
      <c r="D7" s="218"/>
      <c r="E7" s="218"/>
      <c r="F7" s="218"/>
      <c r="G7" s="218"/>
      <c r="H7" s="218"/>
      <c r="I7" s="218"/>
      <c r="J7" s="218"/>
      <c r="K7" s="218"/>
      <c r="L7" s="203"/>
      <c r="M7" s="57"/>
      <c r="N7" s="57"/>
      <c r="O7" s="57"/>
      <c r="P7" s="57"/>
    </row>
    <row r="8" spans="1:16">
      <c r="A8" s="218"/>
      <c r="B8" s="218"/>
      <c r="C8" s="218"/>
      <c r="D8" s="218"/>
      <c r="E8" s="218"/>
      <c r="F8" s="218"/>
      <c r="G8" s="218"/>
      <c r="H8" s="218"/>
      <c r="I8" s="218"/>
      <c r="J8" s="218"/>
      <c r="K8" s="218"/>
      <c r="L8" s="203"/>
      <c r="M8" s="57"/>
      <c r="N8" s="57"/>
      <c r="O8" s="57"/>
      <c r="P8" s="57"/>
    </row>
    <row r="9" spans="1:16">
      <c r="A9" s="218"/>
      <c r="B9" s="218"/>
      <c r="C9" s="31" t="s">
        <v>192</v>
      </c>
      <c r="D9" s="509" t="s">
        <v>287</v>
      </c>
      <c r="E9" s="509"/>
      <c r="F9" s="509"/>
      <c r="G9" s="509"/>
      <c r="H9" s="509"/>
      <c r="I9" s="509"/>
      <c r="J9" s="509"/>
      <c r="K9" s="250"/>
      <c r="L9" s="203"/>
      <c r="M9" s="57"/>
      <c r="N9" s="57"/>
      <c r="O9" s="57"/>
      <c r="P9" s="57"/>
    </row>
    <row r="10" spans="1:16">
      <c r="A10" s="218"/>
      <c r="B10" s="218"/>
      <c r="C10" s="33" t="s">
        <v>8</v>
      </c>
      <c r="D10" s="70">
        <v>12</v>
      </c>
      <c r="E10" s="70">
        <v>24</v>
      </c>
      <c r="F10" s="70">
        <v>36</v>
      </c>
      <c r="G10" s="70">
        <v>48</v>
      </c>
      <c r="H10" s="70">
        <v>60</v>
      </c>
      <c r="I10" s="70">
        <v>72</v>
      </c>
      <c r="J10" s="70">
        <v>84</v>
      </c>
      <c r="K10" s="70"/>
      <c r="L10" s="203"/>
      <c r="M10" s="57"/>
      <c r="N10" s="57"/>
      <c r="O10" s="57"/>
      <c r="P10" s="57"/>
    </row>
    <row r="11" spans="1:16" ht="5.15" customHeight="1">
      <c r="A11" s="218"/>
      <c r="B11" s="218"/>
      <c r="C11" s="218"/>
      <c r="D11" s="218"/>
      <c r="E11" s="218"/>
      <c r="F11" s="218"/>
      <c r="G11" s="218"/>
      <c r="H11" s="218"/>
      <c r="I11" s="218"/>
      <c r="J11" s="218"/>
      <c r="K11" s="218"/>
      <c r="L11" s="203"/>
      <c r="M11" s="57"/>
      <c r="N11" s="57"/>
      <c r="O11" s="57"/>
      <c r="P11" s="57"/>
    </row>
    <row r="12" spans="1:16">
      <c r="A12" s="218"/>
      <c r="B12" s="218"/>
      <c r="C12" s="31">
        <f t="shared" ref="C12:C19" si="0">C13-1</f>
        <v>2013</v>
      </c>
      <c r="D12" s="419"/>
      <c r="E12" s="419"/>
      <c r="F12" s="419"/>
      <c r="G12" s="419"/>
      <c r="H12" s="419"/>
      <c r="I12" s="419"/>
      <c r="J12" s="419">
        <v>133992.59091576166</v>
      </c>
      <c r="K12" s="125"/>
      <c r="L12" s="203"/>
      <c r="M12" s="57"/>
      <c r="N12" s="57"/>
      <c r="O12" s="57"/>
      <c r="P12" s="57"/>
    </row>
    <row r="13" spans="1:16">
      <c r="A13" s="218"/>
      <c r="B13" s="218"/>
      <c r="C13" s="31">
        <f t="shared" si="0"/>
        <v>2014</v>
      </c>
      <c r="D13" s="419"/>
      <c r="E13" s="419"/>
      <c r="F13" s="419"/>
      <c r="G13" s="419"/>
      <c r="H13" s="419"/>
      <c r="I13" s="419">
        <v>139835.33577724046</v>
      </c>
      <c r="J13" s="419">
        <v>139876</v>
      </c>
      <c r="K13" s="125"/>
      <c r="L13" s="203"/>
      <c r="M13" s="57"/>
      <c r="N13" s="57"/>
      <c r="O13" s="57"/>
      <c r="P13" s="57"/>
    </row>
    <row r="14" spans="1:16">
      <c r="A14" s="218"/>
      <c r="B14" s="218"/>
      <c r="C14" s="31">
        <f t="shared" si="0"/>
        <v>2015</v>
      </c>
      <c r="D14" s="419"/>
      <c r="E14" s="419"/>
      <c r="F14" s="419"/>
      <c r="G14" s="419"/>
      <c r="H14" s="419">
        <v>144656.13251899136</v>
      </c>
      <c r="I14" s="419">
        <v>145012</v>
      </c>
      <c r="J14" s="419">
        <v>145094</v>
      </c>
      <c r="K14" s="125"/>
      <c r="L14" s="203"/>
      <c r="M14" s="57"/>
      <c r="N14" s="57"/>
      <c r="O14" s="57"/>
      <c r="P14" s="57"/>
    </row>
    <row r="15" spans="1:16">
      <c r="A15" s="218"/>
      <c r="B15" s="218"/>
      <c r="C15" s="31">
        <f t="shared" si="0"/>
        <v>2016</v>
      </c>
      <c r="D15" s="419"/>
      <c r="E15" s="419"/>
      <c r="F15" s="419"/>
      <c r="G15" s="419">
        <v>147699</v>
      </c>
      <c r="H15" s="419">
        <v>148146</v>
      </c>
      <c r="I15" s="419">
        <v>148290</v>
      </c>
      <c r="J15" s="419">
        <v>148304</v>
      </c>
      <c r="K15" s="125"/>
      <c r="L15" s="203"/>
      <c r="M15" s="57"/>
      <c r="N15" s="57"/>
      <c r="O15" s="57"/>
      <c r="P15" s="57"/>
    </row>
    <row r="16" spans="1:16">
      <c r="A16" s="218"/>
      <c r="B16" s="218"/>
      <c r="C16" s="31">
        <f t="shared" si="0"/>
        <v>2017</v>
      </c>
      <c r="D16" s="419"/>
      <c r="E16" s="419"/>
      <c r="F16" s="419">
        <v>147278.00000000003</v>
      </c>
      <c r="G16" s="419">
        <v>148369</v>
      </c>
      <c r="H16" s="419">
        <v>148769</v>
      </c>
      <c r="I16" s="419">
        <v>148903</v>
      </c>
      <c r="J16" s="419" t="s">
        <v>34</v>
      </c>
      <c r="K16" s="125"/>
      <c r="L16" s="203"/>
      <c r="M16" s="57"/>
      <c r="N16" s="57"/>
      <c r="O16" s="57"/>
      <c r="P16" s="57"/>
    </row>
    <row r="17" spans="1:16">
      <c r="A17" s="218"/>
      <c r="B17" s="218"/>
      <c r="C17" s="31">
        <f t="shared" si="0"/>
        <v>2018</v>
      </c>
      <c r="D17" s="419"/>
      <c r="E17" s="419">
        <v>146888</v>
      </c>
      <c r="F17" s="419">
        <v>150343</v>
      </c>
      <c r="G17" s="419">
        <v>151222</v>
      </c>
      <c r="H17" s="419">
        <v>151539</v>
      </c>
      <c r="I17" s="419" t="s">
        <v>34</v>
      </c>
      <c r="J17" s="419" t="s">
        <v>34</v>
      </c>
      <c r="K17" s="125"/>
      <c r="L17" s="203"/>
      <c r="M17" s="57"/>
      <c r="N17" s="57"/>
      <c r="O17" s="57"/>
      <c r="P17" s="57"/>
    </row>
    <row r="18" spans="1:16">
      <c r="A18" s="218"/>
      <c r="B18" s="218"/>
      <c r="C18" s="31">
        <f t="shared" si="0"/>
        <v>2019</v>
      </c>
      <c r="D18" s="419">
        <v>122039.00000000003</v>
      </c>
      <c r="E18" s="419">
        <v>149149.00000000003</v>
      </c>
      <c r="F18" s="419">
        <v>153213.00000000003</v>
      </c>
      <c r="G18" s="419">
        <v>154240</v>
      </c>
      <c r="H18" s="419" t="s">
        <v>34</v>
      </c>
      <c r="I18" s="419" t="s">
        <v>34</v>
      </c>
      <c r="J18" s="419" t="s">
        <v>34</v>
      </c>
      <c r="K18" s="125"/>
      <c r="L18" s="203"/>
      <c r="M18" s="57"/>
      <c r="N18" s="57"/>
      <c r="O18" s="57"/>
      <c r="P18" s="57"/>
    </row>
    <row r="19" spans="1:16">
      <c r="A19" s="218"/>
      <c r="B19" s="218"/>
      <c r="C19" s="31">
        <f t="shared" si="0"/>
        <v>2020</v>
      </c>
      <c r="D19" s="419">
        <v>106671</v>
      </c>
      <c r="E19" s="419">
        <v>130684.00000000001</v>
      </c>
      <c r="F19" s="419">
        <v>133906</v>
      </c>
      <c r="G19" s="419" t="s">
        <v>34</v>
      </c>
      <c r="H19" s="419" t="s">
        <v>34</v>
      </c>
      <c r="I19" s="419" t="s">
        <v>34</v>
      </c>
      <c r="J19" s="419" t="s">
        <v>34</v>
      </c>
      <c r="K19" s="125"/>
      <c r="L19" s="203"/>
      <c r="M19" s="57"/>
      <c r="N19" s="57"/>
      <c r="O19" s="57"/>
      <c r="P19" s="57"/>
    </row>
    <row r="20" spans="1:16">
      <c r="A20" s="218"/>
      <c r="B20" s="218"/>
      <c r="C20" s="31">
        <f>C21-1</f>
        <v>2021</v>
      </c>
      <c r="D20" s="419">
        <v>117831</v>
      </c>
      <c r="E20" s="419">
        <v>144410</v>
      </c>
      <c r="F20" s="419" t="s">
        <v>34</v>
      </c>
      <c r="G20" s="419" t="s">
        <v>34</v>
      </c>
      <c r="H20" s="419" t="s">
        <v>34</v>
      </c>
      <c r="I20" s="419" t="s">
        <v>34</v>
      </c>
      <c r="J20" s="419" t="s">
        <v>34</v>
      </c>
      <c r="K20" s="125"/>
      <c r="L20" s="203"/>
      <c r="M20" s="57"/>
      <c r="N20" s="57"/>
      <c r="O20" s="57"/>
      <c r="P20" s="57"/>
    </row>
    <row r="21" spans="1:16">
      <c r="A21" s="218"/>
      <c r="B21" s="218"/>
      <c r="C21" s="31">
        <v>2022</v>
      </c>
      <c r="D21" s="419">
        <v>123950</v>
      </c>
      <c r="E21" s="419" t="s">
        <v>34</v>
      </c>
      <c r="F21" s="419"/>
      <c r="G21" s="419"/>
      <c r="H21" s="419"/>
      <c r="I21" s="419"/>
      <c r="J21" s="419"/>
      <c r="K21" s="125"/>
      <c r="L21" s="203"/>
      <c r="M21" s="57"/>
      <c r="N21" s="57"/>
      <c r="O21" s="57"/>
      <c r="P21" s="57"/>
    </row>
    <row r="22" spans="1:16">
      <c r="A22" s="218"/>
      <c r="B22" s="218"/>
      <c r="C22" s="31"/>
      <c r="D22" s="125"/>
      <c r="E22" s="125"/>
      <c r="F22" s="125"/>
      <c r="G22" s="125"/>
      <c r="H22" s="125"/>
      <c r="I22" s="125"/>
      <c r="J22" s="125"/>
      <c r="K22" s="125"/>
      <c r="L22" s="203"/>
      <c r="M22" s="253"/>
      <c r="N22" s="57"/>
      <c r="O22" s="57"/>
      <c r="P22" s="57"/>
    </row>
    <row r="23" spans="1:16">
      <c r="A23" s="511" t="s">
        <v>243</v>
      </c>
      <c r="B23" s="511"/>
      <c r="C23" s="511"/>
      <c r="D23" s="511"/>
      <c r="E23" s="511"/>
      <c r="F23" s="511"/>
      <c r="G23" s="511"/>
      <c r="H23" s="511"/>
      <c r="I23" s="511"/>
      <c r="J23" s="511"/>
      <c r="K23" s="117"/>
      <c r="L23" s="203"/>
      <c r="M23" s="57"/>
      <c r="N23" s="57"/>
      <c r="O23" s="57"/>
      <c r="P23" s="57"/>
    </row>
    <row r="24" spans="1:16">
      <c r="A24" s="123"/>
      <c r="B24" s="123"/>
      <c r="C24" s="50"/>
      <c r="D24" s="50"/>
      <c r="E24" s="50"/>
      <c r="F24" s="50"/>
      <c r="G24" s="50"/>
      <c r="H24" s="50"/>
      <c r="I24" s="50"/>
      <c r="J24" s="50"/>
      <c r="K24" s="50"/>
      <c r="L24" s="203"/>
      <c r="M24" s="57"/>
      <c r="N24" s="57"/>
      <c r="O24" s="57"/>
      <c r="P24" s="57"/>
    </row>
    <row r="25" spans="1:16">
      <c r="A25" s="218"/>
      <c r="B25" s="218"/>
      <c r="C25" s="31" t="s">
        <v>54</v>
      </c>
      <c r="D25" s="509" t="s">
        <v>288</v>
      </c>
      <c r="E25" s="509"/>
      <c r="F25" s="509"/>
      <c r="G25" s="509"/>
      <c r="H25" s="509"/>
      <c r="I25" s="509"/>
      <c r="J25" s="509"/>
      <c r="K25" s="250"/>
      <c r="L25" s="203"/>
      <c r="M25" s="57"/>
      <c r="N25" s="57"/>
      <c r="O25" s="57"/>
      <c r="P25" s="57"/>
    </row>
    <row r="26" spans="1:16">
      <c r="A26" s="218"/>
      <c r="B26" s="218"/>
      <c r="C26" s="33" t="s">
        <v>8</v>
      </c>
      <c r="D26" s="70" t="str">
        <f t="shared" ref="D26:I26" si="1">+D10&amp;"-"&amp;E10</f>
        <v>12-24</v>
      </c>
      <c r="E26" s="70" t="str">
        <f t="shared" si="1"/>
        <v>24-36</v>
      </c>
      <c r="F26" s="70" t="str">
        <f t="shared" si="1"/>
        <v>36-48</v>
      </c>
      <c r="G26" s="70" t="str">
        <f t="shared" si="1"/>
        <v>48-60</v>
      </c>
      <c r="H26" s="70" t="str">
        <f t="shared" si="1"/>
        <v>60-72</v>
      </c>
      <c r="I26" s="70" t="str">
        <f t="shared" si="1"/>
        <v>72-84</v>
      </c>
      <c r="J26" s="70" t="str">
        <f>RIGHT(I26,2)&amp;"-Ult"</f>
        <v>84-Ult</v>
      </c>
      <c r="K26" s="70"/>
      <c r="L26" s="203"/>
      <c r="M26" s="57"/>
      <c r="N26" s="57"/>
      <c r="O26" s="57"/>
      <c r="P26" s="57"/>
    </row>
    <row r="27" spans="1:16" ht="4.4000000000000004" customHeight="1">
      <c r="A27" s="218"/>
      <c r="B27" s="218"/>
      <c r="C27" s="218"/>
      <c r="D27" s="218"/>
      <c r="E27" s="218"/>
      <c r="F27" s="218"/>
      <c r="G27" s="218"/>
      <c r="H27" s="218"/>
      <c r="I27" s="218"/>
      <c r="J27" s="218"/>
      <c r="K27" s="218"/>
      <c r="L27" s="203"/>
      <c r="M27" s="57"/>
      <c r="N27" s="57"/>
      <c r="O27" s="57"/>
      <c r="P27" s="57"/>
    </row>
    <row r="28" spans="1:16">
      <c r="A28" s="218"/>
      <c r="B28" s="218"/>
      <c r="C28" s="31">
        <f t="shared" ref="C28:C33" si="2">C29-1</f>
        <v>2014</v>
      </c>
      <c r="D28" s="44"/>
      <c r="E28" s="44"/>
      <c r="F28" s="44"/>
      <c r="G28" s="44"/>
      <c r="H28" s="44"/>
      <c r="I28" s="163">
        <f>J13/I13</f>
        <v>1.0002908007660118</v>
      </c>
      <c r="J28" s="44"/>
      <c r="K28" s="44"/>
      <c r="L28" s="203"/>
      <c r="M28" s="57"/>
      <c r="N28" s="57"/>
      <c r="O28" s="57"/>
      <c r="P28" s="57"/>
    </row>
    <row r="29" spans="1:16">
      <c r="A29" s="218"/>
      <c r="B29" s="218"/>
      <c r="C29" s="31">
        <f t="shared" si="2"/>
        <v>2015</v>
      </c>
      <c r="D29" s="44"/>
      <c r="E29" s="44"/>
      <c r="F29" s="44"/>
      <c r="G29" s="44"/>
      <c r="H29" s="163">
        <f>I14/H14</f>
        <v>1.002460092598991</v>
      </c>
      <c r="I29" s="163">
        <f t="shared" ref="I29" si="3">J14/I14</f>
        <v>1.0005654704438254</v>
      </c>
      <c r="J29" s="44"/>
      <c r="K29" s="44"/>
      <c r="L29" s="203"/>
      <c r="M29" s="57"/>
      <c r="N29" s="57"/>
      <c r="O29" s="57"/>
      <c r="P29" s="57"/>
    </row>
    <row r="30" spans="1:16">
      <c r="A30" s="218"/>
      <c r="B30" s="218"/>
      <c r="C30" s="31">
        <f t="shared" si="2"/>
        <v>2016</v>
      </c>
      <c r="D30" s="44"/>
      <c r="E30" s="44"/>
      <c r="F30" s="44"/>
      <c r="G30" s="163">
        <f>H15/G15</f>
        <v>1.0030264253651007</v>
      </c>
      <c r="H30" s="163">
        <f t="shared" ref="H30:I30" si="4">I15/H15</f>
        <v>1.0009720140942044</v>
      </c>
      <c r="I30" s="163">
        <f t="shared" si="4"/>
        <v>1.0000944096028053</v>
      </c>
      <c r="J30" s="44"/>
      <c r="K30" s="44"/>
      <c r="L30" s="203"/>
      <c r="M30" s="57"/>
      <c r="N30" s="57"/>
      <c r="O30" s="57"/>
      <c r="P30" s="57"/>
    </row>
    <row r="31" spans="1:16">
      <c r="A31" s="218"/>
      <c r="B31" s="218"/>
      <c r="C31" s="31">
        <f t="shared" si="2"/>
        <v>2017</v>
      </c>
      <c r="D31" s="44"/>
      <c r="E31" s="44"/>
      <c r="F31" s="163">
        <f>G16/F16</f>
        <v>1.0074077594752779</v>
      </c>
      <c r="G31" s="163">
        <f t="shared" ref="G31:H31" si="5">H16/G16</f>
        <v>1.0026959809663745</v>
      </c>
      <c r="H31" s="163">
        <f t="shared" si="5"/>
        <v>1.0009007252855098</v>
      </c>
      <c r="I31" s="44"/>
      <c r="J31" s="44"/>
      <c r="K31" s="44"/>
      <c r="L31" s="203"/>
      <c r="M31" s="57"/>
      <c r="N31" s="57"/>
      <c r="O31" s="57"/>
      <c r="P31" s="57"/>
    </row>
    <row r="32" spans="1:16">
      <c r="A32" s="218"/>
      <c r="B32" s="218"/>
      <c r="C32" s="31">
        <f t="shared" si="2"/>
        <v>2018</v>
      </c>
      <c r="D32" s="44"/>
      <c r="E32" s="163">
        <f>F17/E17</f>
        <v>1.0235213223680628</v>
      </c>
      <c r="F32" s="163">
        <f t="shared" ref="F32:G32" si="6">G17/F17</f>
        <v>1.0058466307044558</v>
      </c>
      <c r="G32" s="163">
        <f t="shared" si="6"/>
        <v>1.0020962558357911</v>
      </c>
      <c r="H32" s="44"/>
      <c r="I32" s="44"/>
      <c r="J32" s="44"/>
      <c r="K32" s="44"/>
      <c r="L32" s="203"/>
      <c r="M32" s="57"/>
      <c r="N32" s="57"/>
      <c r="O32" s="57"/>
      <c r="P32" s="57"/>
    </row>
    <row r="33" spans="1:16">
      <c r="A33" s="218"/>
      <c r="B33" s="218"/>
      <c r="C33" s="31">
        <f t="shared" si="2"/>
        <v>2019</v>
      </c>
      <c r="D33" s="163">
        <f>E18/D18</f>
        <v>1.2221421021148977</v>
      </c>
      <c r="E33" s="163">
        <f t="shared" ref="D33:E35" si="7">F18/E18</f>
        <v>1.0272479198653695</v>
      </c>
      <c r="F33" s="163">
        <f t="shared" ref="F33" si="8">G18/F18</f>
        <v>1.0067030865527076</v>
      </c>
      <c r="G33" s="44"/>
      <c r="H33" s="44"/>
      <c r="I33" s="44"/>
      <c r="J33" s="44"/>
      <c r="K33" s="44"/>
      <c r="L33" s="203"/>
      <c r="M33" s="57"/>
      <c r="N33" s="57"/>
      <c r="O33" s="57"/>
      <c r="P33" s="57"/>
    </row>
    <row r="34" spans="1:16">
      <c r="A34" s="218"/>
      <c r="B34" s="218"/>
      <c r="C34" s="31">
        <f>C35-1</f>
        <v>2020</v>
      </c>
      <c r="D34" s="163">
        <f t="shared" si="7"/>
        <v>1.2251127297953521</v>
      </c>
      <c r="E34" s="163">
        <f t="shared" si="7"/>
        <v>1.0246548927183128</v>
      </c>
      <c r="F34" s="44"/>
      <c r="G34" s="44"/>
      <c r="H34" s="44"/>
      <c r="I34" s="44"/>
      <c r="J34" s="44"/>
      <c r="K34" s="44"/>
      <c r="L34" s="203"/>
      <c r="M34" s="57"/>
      <c r="N34" s="57"/>
      <c r="O34" s="57"/>
      <c r="P34" s="57"/>
    </row>
    <row r="35" spans="1:16">
      <c r="A35" s="218"/>
      <c r="B35" s="218"/>
      <c r="C35" s="31">
        <f>C21-1</f>
        <v>2021</v>
      </c>
      <c r="D35" s="163">
        <f t="shared" si="7"/>
        <v>1.2255688231450128</v>
      </c>
      <c r="E35" s="44"/>
      <c r="F35" s="44"/>
      <c r="G35" s="44"/>
      <c r="H35" s="44"/>
      <c r="I35" s="44"/>
      <c r="J35" s="44"/>
      <c r="K35" s="44"/>
      <c r="L35" s="203"/>
      <c r="M35" s="57"/>
      <c r="N35" s="57"/>
      <c r="O35" s="57"/>
      <c r="P35" s="57"/>
    </row>
    <row r="36" spans="1:16">
      <c r="A36" s="123"/>
      <c r="B36" s="123"/>
      <c r="C36" s="44"/>
      <c r="D36" s="44"/>
      <c r="E36" s="44"/>
      <c r="F36" s="44"/>
      <c r="G36" s="44"/>
      <c r="H36" s="120"/>
      <c r="I36" s="44"/>
      <c r="J36" s="44"/>
      <c r="K36" s="44"/>
      <c r="L36" s="203"/>
      <c r="M36" s="57"/>
      <c r="N36" s="57"/>
      <c r="O36" s="57"/>
      <c r="P36" s="57"/>
    </row>
    <row r="37" spans="1:16">
      <c r="A37" s="218"/>
      <c r="B37" s="218"/>
      <c r="C37" s="218" t="s">
        <v>244</v>
      </c>
      <c r="D37" s="42">
        <f>D35</f>
        <v>1.2255688231450128</v>
      </c>
      <c r="E37" s="42">
        <f>E34</f>
        <v>1.0246548927183128</v>
      </c>
      <c r="F37" s="42">
        <f>F33</f>
        <v>1.0067030865527076</v>
      </c>
      <c r="G37" s="42">
        <f>G32</f>
        <v>1.0020962558357911</v>
      </c>
      <c r="H37" s="42">
        <f>H31</f>
        <v>1.0009007252855098</v>
      </c>
      <c r="I37" s="42">
        <f>I30</f>
        <v>1.0000944096028053</v>
      </c>
      <c r="J37" s="44"/>
      <c r="K37" s="44"/>
      <c r="L37" s="203"/>
      <c r="M37" s="57"/>
      <c r="N37" s="57"/>
      <c r="O37" s="57"/>
      <c r="P37" s="57"/>
    </row>
    <row r="38" spans="1:16">
      <c r="A38" s="218"/>
      <c r="B38" s="218"/>
      <c r="C38" s="218" t="s">
        <v>21</v>
      </c>
      <c r="D38" s="42">
        <f t="shared" ref="D38:I38" si="9">D37*E38</f>
        <v>1.2710342288800724</v>
      </c>
      <c r="E38" s="42">
        <f t="shared" si="9"/>
        <v>1.0370973909228434</v>
      </c>
      <c r="F38" s="42">
        <f t="shared" si="9"/>
        <v>1.012143111103019</v>
      </c>
      <c r="G38" s="42">
        <f t="shared" si="9"/>
        <v>1.005403802395143</v>
      </c>
      <c r="H38" s="42">
        <f t="shared" si="9"/>
        <v>1.0033006275994847</v>
      </c>
      <c r="I38" s="42">
        <f t="shared" si="9"/>
        <v>1.0023977426065811</v>
      </c>
      <c r="J38" s="420">
        <v>1.0023031155675499</v>
      </c>
      <c r="K38" s="44"/>
      <c r="L38" s="203"/>
      <c r="M38" s="57"/>
      <c r="N38" s="57"/>
      <c r="O38" s="57"/>
      <c r="P38" s="57"/>
    </row>
    <row r="39" spans="1:16">
      <c r="A39" s="218"/>
      <c r="B39" s="218"/>
      <c r="C39" s="218"/>
      <c r="D39" s="218"/>
      <c r="E39" s="218"/>
      <c r="F39" s="218"/>
      <c r="G39" s="218"/>
      <c r="H39" s="218"/>
      <c r="I39" s="218"/>
      <c r="J39" s="218"/>
      <c r="K39" s="218"/>
      <c r="L39" s="203"/>
      <c r="M39" s="57"/>
      <c r="N39" s="57"/>
      <c r="O39" s="57"/>
      <c r="P39" s="57"/>
    </row>
    <row r="40" spans="1:16">
      <c r="A40" s="218"/>
      <c r="B40" s="218"/>
      <c r="C40" s="218"/>
      <c r="D40" s="249"/>
      <c r="E40" s="249"/>
      <c r="F40" s="249"/>
      <c r="G40" s="249"/>
      <c r="H40" s="249"/>
      <c r="I40" s="249"/>
      <c r="J40" s="249"/>
      <c r="K40" s="250"/>
      <c r="L40" s="203"/>
      <c r="M40" s="57"/>
      <c r="N40" s="57"/>
      <c r="O40" s="57"/>
      <c r="P40" s="57"/>
    </row>
    <row r="41" spans="1:16">
      <c r="A41" s="218"/>
      <c r="B41" s="218"/>
      <c r="C41" s="218" t="s">
        <v>245</v>
      </c>
      <c r="D41" s="70">
        <f>C21</f>
        <v>2022</v>
      </c>
      <c r="E41" s="70">
        <f t="shared" ref="E41:J41" si="10">D41-1</f>
        <v>2021</v>
      </c>
      <c r="F41" s="70">
        <f t="shared" si="10"/>
        <v>2020</v>
      </c>
      <c r="G41" s="70">
        <f t="shared" si="10"/>
        <v>2019</v>
      </c>
      <c r="H41" s="70">
        <f t="shared" si="10"/>
        <v>2018</v>
      </c>
      <c r="I41" s="70">
        <f t="shared" si="10"/>
        <v>2017</v>
      </c>
      <c r="J41" s="70">
        <f t="shared" si="10"/>
        <v>2016</v>
      </c>
      <c r="K41" s="70"/>
      <c r="L41" s="203"/>
      <c r="M41" s="57"/>
      <c r="N41" s="57"/>
      <c r="O41" s="57"/>
      <c r="P41" s="57"/>
    </row>
    <row r="42" spans="1:16">
      <c r="A42" s="218"/>
      <c r="B42" s="218"/>
      <c r="C42" s="218" t="s">
        <v>246</v>
      </c>
      <c r="D42" s="71">
        <f>D38*D21</f>
        <v>157544.69266968497</v>
      </c>
      <c r="E42" s="71">
        <f>E38*E20</f>
        <v>149767.23422316782</v>
      </c>
      <c r="F42" s="71">
        <f>F38*F19</f>
        <v>135532.03543536086</v>
      </c>
      <c r="G42" s="71">
        <f>G38*G18</f>
        <v>155073.48248142685</v>
      </c>
      <c r="H42" s="71">
        <f>H38*H17</f>
        <v>152039.17380579832</v>
      </c>
      <c r="I42" s="71">
        <f>I38*I16</f>
        <v>149260.03106734774</v>
      </c>
      <c r="J42" s="71">
        <f>J38*J15</f>
        <v>148645.56125112993</v>
      </c>
      <c r="K42" s="71"/>
      <c r="L42" s="203"/>
      <c r="M42" s="57"/>
      <c r="N42" s="57"/>
      <c r="O42" s="57"/>
      <c r="P42" s="57"/>
    </row>
    <row r="43" spans="1:16">
      <c r="A43" s="218"/>
      <c r="B43" s="218"/>
      <c r="C43" s="218"/>
      <c r="D43" s="254"/>
      <c r="E43" s="254"/>
      <c r="F43" s="254"/>
      <c r="G43" s="254"/>
      <c r="H43" s="254"/>
      <c r="I43" s="254"/>
      <c r="J43" s="254"/>
      <c r="K43" s="254"/>
      <c r="L43" s="203"/>
      <c r="M43" s="57"/>
      <c r="N43" s="57"/>
      <c r="O43" s="57"/>
      <c r="P43" s="57"/>
    </row>
    <row r="44" spans="1:16">
      <c r="A44" s="511" t="s">
        <v>247</v>
      </c>
      <c r="B44" s="511"/>
      <c r="C44" s="511"/>
      <c r="D44" s="511"/>
      <c r="E44" s="511"/>
      <c r="F44" s="511"/>
      <c r="G44" s="511"/>
      <c r="H44" s="511"/>
      <c r="I44" s="511"/>
      <c r="J44" s="511"/>
      <c r="K44" s="117"/>
      <c r="L44" s="203"/>
      <c r="M44" s="57"/>
      <c r="N44" s="57"/>
      <c r="O44" s="57"/>
      <c r="P44" s="57"/>
    </row>
    <row r="45" spans="1:16">
      <c r="A45" s="218"/>
      <c r="B45" s="218"/>
      <c r="C45" s="218"/>
      <c r="D45" s="218"/>
      <c r="E45" s="218"/>
      <c r="F45" s="218"/>
      <c r="G45" s="218"/>
      <c r="H45" s="218"/>
      <c r="I45" s="218"/>
      <c r="J45" s="218"/>
      <c r="K45" s="218"/>
      <c r="L45" s="203"/>
      <c r="M45" s="57"/>
      <c r="N45" s="57"/>
      <c r="O45" s="57"/>
      <c r="P45" s="57"/>
    </row>
    <row r="46" spans="1:16">
      <c r="A46" s="218"/>
      <c r="B46" s="218"/>
      <c r="C46" s="31" t="s">
        <v>192</v>
      </c>
      <c r="D46" s="509" t="s">
        <v>287</v>
      </c>
      <c r="E46" s="512"/>
      <c r="F46" s="512"/>
      <c r="G46" s="512"/>
      <c r="H46" s="512"/>
      <c r="I46" s="512"/>
      <c r="J46" s="512"/>
      <c r="K46" s="88"/>
      <c r="L46" s="203"/>
      <c r="M46" s="57"/>
      <c r="N46" s="57"/>
      <c r="O46" s="57"/>
      <c r="P46" s="57"/>
    </row>
    <row r="47" spans="1:16">
      <c r="A47" s="218"/>
      <c r="B47" s="31"/>
      <c r="C47" s="33" t="s">
        <v>8</v>
      </c>
      <c r="D47" s="70">
        <f t="shared" ref="D47:J47" si="11">+D10</f>
        <v>12</v>
      </c>
      <c r="E47" s="70">
        <f t="shared" si="11"/>
        <v>24</v>
      </c>
      <c r="F47" s="70">
        <f t="shared" si="11"/>
        <v>36</v>
      </c>
      <c r="G47" s="70">
        <f t="shared" si="11"/>
        <v>48</v>
      </c>
      <c r="H47" s="70">
        <f t="shared" si="11"/>
        <v>60</v>
      </c>
      <c r="I47" s="70">
        <f t="shared" si="11"/>
        <v>72</v>
      </c>
      <c r="J47" s="70">
        <f t="shared" si="11"/>
        <v>84</v>
      </c>
      <c r="K47" s="70"/>
      <c r="L47" s="203"/>
      <c r="M47" s="57"/>
      <c r="N47" s="57"/>
      <c r="O47" s="57"/>
      <c r="P47" s="57"/>
    </row>
    <row r="48" spans="1:16" ht="3.65" customHeight="1">
      <c r="A48" s="218"/>
      <c r="B48" s="218"/>
      <c r="C48" s="218"/>
      <c r="D48" s="218"/>
      <c r="E48" s="218"/>
      <c r="F48" s="218"/>
      <c r="G48" s="218"/>
      <c r="H48" s="218"/>
      <c r="I48" s="218"/>
      <c r="J48" s="218"/>
      <c r="K48" s="218"/>
      <c r="L48" s="203"/>
      <c r="M48" s="57"/>
      <c r="N48" s="57"/>
      <c r="O48" s="57"/>
      <c r="P48" s="57"/>
    </row>
    <row r="49" spans="1:16">
      <c r="A49" s="218"/>
      <c r="B49" s="31"/>
      <c r="C49" s="31">
        <f t="shared" ref="C49:C55" si="12">+C50-1</f>
        <v>2013</v>
      </c>
      <c r="D49" s="419"/>
      <c r="E49" s="419"/>
      <c r="F49" s="419"/>
      <c r="G49" s="419"/>
      <c r="H49" s="419"/>
      <c r="I49" s="419"/>
      <c r="J49" s="419">
        <v>124817.23697241761</v>
      </c>
      <c r="K49" s="125"/>
      <c r="L49" s="203"/>
      <c r="M49" s="57"/>
      <c r="N49" s="57"/>
      <c r="O49" s="57"/>
      <c r="P49" s="57"/>
    </row>
    <row r="50" spans="1:16">
      <c r="A50" s="218"/>
      <c r="B50" s="31"/>
      <c r="C50" s="31">
        <f t="shared" si="12"/>
        <v>2014</v>
      </c>
      <c r="D50" s="419"/>
      <c r="E50" s="419"/>
      <c r="F50" s="419"/>
      <c r="G50" s="419"/>
      <c r="H50" s="419"/>
      <c r="I50" s="419">
        <v>126836.75295741325</v>
      </c>
      <c r="J50" s="419">
        <v>130742</v>
      </c>
      <c r="K50" s="125"/>
      <c r="L50" s="203"/>
      <c r="M50" s="57"/>
      <c r="N50" s="57"/>
      <c r="O50" s="57"/>
      <c r="P50" s="57"/>
    </row>
    <row r="51" spans="1:16">
      <c r="A51" s="218"/>
      <c r="B51" s="218"/>
      <c r="C51" s="31">
        <f t="shared" si="12"/>
        <v>2015</v>
      </c>
      <c r="D51" s="419"/>
      <c r="E51" s="419"/>
      <c r="F51" s="419"/>
      <c r="G51" s="419"/>
      <c r="H51" s="419">
        <v>126957.07430831231</v>
      </c>
      <c r="I51" s="419">
        <v>132452</v>
      </c>
      <c r="J51" s="419">
        <v>136112</v>
      </c>
      <c r="K51" s="125"/>
      <c r="L51" s="203"/>
      <c r="M51" s="57"/>
      <c r="N51" s="57"/>
      <c r="O51" s="57"/>
      <c r="P51" s="57"/>
    </row>
    <row r="52" spans="1:16">
      <c r="A52" s="218"/>
      <c r="B52" s="218"/>
      <c r="C52" s="31">
        <f t="shared" si="12"/>
        <v>2016</v>
      </c>
      <c r="D52" s="419"/>
      <c r="E52" s="419"/>
      <c r="F52" s="419"/>
      <c r="G52" s="419">
        <v>121770</v>
      </c>
      <c r="H52" s="419">
        <v>130634.00000000001</v>
      </c>
      <c r="I52" s="419">
        <v>135941</v>
      </c>
      <c r="J52" s="419">
        <v>139548</v>
      </c>
      <c r="K52" s="125"/>
      <c r="L52" s="203"/>
      <c r="M52" s="57"/>
      <c r="N52" s="57"/>
      <c r="O52" s="57"/>
      <c r="P52" s="57"/>
    </row>
    <row r="53" spans="1:16">
      <c r="A53" s="218"/>
      <c r="B53" s="218"/>
      <c r="C53" s="31">
        <f t="shared" si="12"/>
        <v>2017</v>
      </c>
      <c r="D53" s="419"/>
      <c r="E53" s="419"/>
      <c r="F53" s="419">
        <v>107659.00000000001</v>
      </c>
      <c r="G53" s="419">
        <v>122454.00000000001</v>
      </c>
      <c r="H53" s="419">
        <v>131310</v>
      </c>
      <c r="I53" s="419">
        <v>136689</v>
      </c>
      <c r="J53" s="419"/>
      <c r="K53" s="125"/>
      <c r="L53" s="203"/>
      <c r="M53" s="57"/>
      <c r="N53" s="57"/>
      <c r="O53" s="57"/>
      <c r="P53" s="57"/>
    </row>
    <row r="54" spans="1:16">
      <c r="A54" s="218"/>
      <c r="B54" s="218"/>
      <c r="C54" s="31">
        <f t="shared" si="12"/>
        <v>2018</v>
      </c>
      <c r="D54" s="419"/>
      <c r="E54" s="419">
        <v>82698</v>
      </c>
      <c r="F54" s="419">
        <v>107292</v>
      </c>
      <c r="G54" s="419">
        <v>123010</v>
      </c>
      <c r="H54" s="419">
        <v>132892</v>
      </c>
      <c r="I54" s="419"/>
      <c r="J54" s="419"/>
      <c r="K54" s="125"/>
      <c r="L54" s="203"/>
      <c r="M54" s="57"/>
      <c r="N54" s="57"/>
      <c r="O54" s="57"/>
      <c r="P54" s="57"/>
    </row>
    <row r="55" spans="1:16">
      <c r="A55" s="218"/>
      <c r="B55" s="218"/>
      <c r="C55" s="31">
        <f t="shared" si="12"/>
        <v>2019</v>
      </c>
      <c r="D55" s="419">
        <v>37930</v>
      </c>
      <c r="E55" s="419">
        <v>80596</v>
      </c>
      <c r="F55" s="419">
        <v>105847</v>
      </c>
      <c r="G55" s="419">
        <v>123713</v>
      </c>
      <c r="H55" s="419"/>
      <c r="I55" s="419"/>
      <c r="J55" s="419" t="s">
        <v>34</v>
      </c>
      <c r="K55" s="125"/>
      <c r="L55" s="203"/>
      <c r="M55" s="57"/>
      <c r="N55" s="57"/>
      <c r="O55" s="57"/>
      <c r="P55" s="57"/>
    </row>
    <row r="56" spans="1:16">
      <c r="A56" s="218"/>
      <c r="B56" s="218"/>
      <c r="C56" s="31">
        <f>+C57-1</f>
        <v>2020</v>
      </c>
      <c r="D56" s="419">
        <v>31975</v>
      </c>
      <c r="E56" s="419">
        <v>69531</v>
      </c>
      <c r="F56" s="419">
        <v>92349</v>
      </c>
      <c r="G56" s="419"/>
      <c r="H56" s="419"/>
      <c r="I56" s="419" t="s">
        <v>34</v>
      </c>
      <c r="J56" s="419" t="s">
        <v>34</v>
      </c>
      <c r="K56" s="125"/>
      <c r="L56" s="203"/>
      <c r="M56" s="57"/>
      <c r="N56" s="57"/>
      <c r="O56" s="57"/>
      <c r="P56" s="57"/>
    </row>
    <row r="57" spans="1:16">
      <c r="A57" s="218"/>
      <c r="B57" s="218"/>
      <c r="C57" s="31">
        <f>+C20</f>
        <v>2021</v>
      </c>
      <c r="D57" s="419">
        <v>36982</v>
      </c>
      <c r="E57" s="419">
        <v>80484</v>
      </c>
      <c r="F57" s="419"/>
      <c r="G57" s="419"/>
      <c r="H57" s="419" t="s">
        <v>34</v>
      </c>
      <c r="I57" s="419" t="s">
        <v>34</v>
      </c>
      <c r="J57" s="419" t="s">
        <v>34</v>
      </c>
      <c r="K57" s="125"/>
      <c r="L57" s="203"/>
      <c r="M57" s="57"/>
      <c r="N57" s="57"/>
      <c r="O57" s="57"/>
      <c r="P57" s="57"/>
    </row>
    <row r="58" spans="1:16">
      <c r="A58" s="218"/>
      <c r="B58" s="218"/>
      <c r="C58" s="31">
        <f>+C21</f>
        <v>2022</v>
      </c>
      <c r="D58" s="419">
        <v>39762</v>
      </c>
      <c r="E58" s="419"/>
      <c r="F58" s="419"/>
      <c r="G58" s="419"/>
      <c r="H58" s="419"/>
      <c r="I58" s="419"/>
      <c r="J58" s="419"/>
      <c r="K58" s="125"/>
      <c r="L58" s="203"/>
      <c r="M58" s="57"/>
      <c r="N58" s="57"/>
      <c r="O58" s="57"/>
      <c r="P58" s="57"/>
    </row>
    <row r="59" spans="1:16">
      <c r="A59" s="218"/>
      <c r="B59" s="218"/>
      <c r="C59" s="31"/>
      <c r="D59" s="218"/>
      <c r="E59" s="218"/>
      <c r="F59" s="218"/>
      <c r="G59" s="218"/>
      <c r="H59" s="218"/>
      <c r="I59" s="218"/>
      <c r="J59" s="218"/>
      <c r="K59" s="218"/>
      <c r="L59" s="203"/>
      <c r="M59" s="57"/>
      <c r="N59" s="57"/>
      <c r="O59" s="57"/>
      <c r="P59" s="57"/>
    </row>
    <row r="60" spans="1:16">
      <c r="A60" s="218"/>
      <c r="B60" s="41" t="s">
        <v>420</v>
      </c>
      <c r="C60" s="41"/>
      <c r="D60" s="41"/>
      <c r="E60" s="41"/>
      <c r="F60" s="41"/>
      <c r="G60" s="41"/>
      <c r="H60" s="41"/>
      <c r="I60" s="41"/>
      <c r="J60" s="41"/>
      <c r="K60" s="218"/>
      <c r="L60" s="203"/>
      <c r="M60" s="57"/>
      <c r="N60" s="57"/>
      <c r="O60" s="57"/>
      <c r="P60" s="57"/>
    </row>
    <row r="61" spans="1:16" ht="45" customHeight="1">
      <c r="A61" s="218"/>
      <c r="B61" s="218"/>
      <c r="C61" s="218"/>
      <c r="D61" s="218"/>
      <c r="E61" s="218"/>
      <c r="F61" s="218"/>
      <c r="G61" s="218"/>
      <c r="H61" s="218"/>
      <c r="I61" s="218"/>
      <c r="J61" s="218"/>
      <c r="K61" s="218"/>
      <c r="L61" s="46" t="s">
        <v>351</v>
      </c>
      <c r="M61" s="57"/>
      <c r="N61" s="57"/>
      <c r="O61" s="57"/>
      <c r="P61" s="57"/>
    </row>
    <row r="62" spans="1:16" s="92" customFormat="1" ht="13">
      <c r="A62" s="122" t="s">
        <v>31</v>
      </c>
      <c r="B62" s="122"/>
      <c r="C62" s="122"/>
      <c r="D62" s="122"/>
      <c r="E62" s="122"/>
      <c r="F62" s="122"/>
      <c r="G62" s="122"/>
      <c r="H62" s="122"/>
      <c r="I62" s="122"/>
      <c r="J62" s="122"/>
      <c r="K62" s="122"/>
      <c r="L62" s="122"/>
      <c r="M62" s="248"/>
      <c r="N62" s="218"/>
      <c r="O62" s="218"/>
      <c r="P62" s="218"/>
    </row>
    <row r="63" spans="1:16" s="92" customFormat="1" ht="13">
      <c r="A63" s="122" t="s">
        <v>240</v>
      </c>
      <c r="B63" s="122"/>
      <c r="C63" s="122"/>
      <c r="D63" s="122"/>
      <c r="E63" s="122"/>
      <c r="F63" s="122"/>
      <c r="G63" s="122"/>
      <c r="H63" s="122"/>
      <c r="I63" s="122"/>
      <c r="J63" s="122"/>
      <c r="K63" s="122"/>
      <c r="L63" s="122"/>
      <c r="M63" s="248"/>
      <c r="N63" s="218"/>
      <c r="O63" s="218"/>
      <c r="P63" s="218"/>
    </row>
    <row r="64" spans="1:16" s="92" customFormat="1" ht="13">
      <c r="A64" s="122" t="s">
        <v>241</v>
      </c>
      <c r="B64" s="122"/>
      <c r="C64" s="122"/>
      <c r="D64" s="122"/>
      <c r="E64" s="122"/>
      <c r="F64" s="122"/>
      <c r="G64" s="122"/>
      <c r="H64" s="122"/>
      <c r="I64" s="122"/>
      <c r="J64" s="122"/>
      <c r="K64" s="122"/>
      <c r="L64" s="122"/>
      <c r="M64" s="248"/>
      <c r="N64" s="218"/>
      <c r="O64" s="218"/>
      <c r="P64" s="218"/>
    </row>
    <row r="65" spans="1:16" s="92" customFormat="1" ht="13">
      <c r="A65" s="248"/>
      <c r="B65" s="248"/>
      <c r="C65" s="248"/>
      <c r="D65" s="248"/>
      <c r="E65" s="248"/>
      <c r="F65" s="248"/>
      <c r="G65" s="248"/>
      <c r="H65" s="248"/>
      <c r="I65" s="248"/>
      <c r="J65" s="248"/>
      <c r="K65" s="248"/>
      <c r="L65" s="248"/>
      <c r="M65" s="248"/>
      <c r="N65" s="218"/>
      <c r="O65" s="218"/>
      <c r="P65" s="218"/>
    </row>
    <row r="66" spans="1:16" s="92" customFormat="1" ht="12.5">
      <c r="A66" s="218"/>
      <c r="B66" s="218"/>
      <c r="C66" s="218"/>
      <c r="D66" s="218"/>
      <c r="E66" s="218"/>
      <c r="F66" s="218"/>
      <c r="G66" s="218"/>
      <c r="H66" s="218"/>
      <c r="I66" s="218"/>
      <c r="J66" s="218"/>
      <c r="K66" s="218"/>
      <c r="L66" s="218"/>
      <c r="M66" s="218"/>
      <c r="N66" s="218"/>
      <c r="O66" s="218"/>
      <c r="P66" s="218"/>
    </row>
    <row r="67" spans="1:16" s="92" customFormat="1" ht="12.5">
      <c r="A67" s="118"/>
      <c r="B67" s="118" t="s">
        <v>289</v>
      </c>
      <c r="C67" s="118"/>
      <c r="D67" s="118"/>
      <c r="E67" s="118"/>
      <c r="F67" s="118"/>
      <c r="G67" s="118"/>
      <c r="H67" s="118"/>
      <c r="I67" s="118"/>
      <c r="J67" s="118"/>
      <c r="K67" s="117"/>
      <c r="L67" s="218"/>
      <c r="M67" s="218"/>
      <c r="N67" s="218"/>
      <c r="O67" s="218"/>
      <c r="P67" s="218"/>
    </row>
    <row r="68" spans="1:16" s="92" customFormat="1" ht="12.5">
      <c r="A68" s="218"/>
      <c r="B68" s="218"/>
      <c r="C68" s="218"/>
      <c r="D68" s="218"/>
      <c r="E68" s="218"/>
      <c r="F68" s="218"/>
      <c r="G68" s="218"/>
      <c r="H68" s="218"/>
      <c r="I68" s="218"/>
      <c r="J68" s="218"/>
      <c r="K68" s="218"/>
      <c r="L68" s="218"/>
      <c r="M68" s="218"/>
      <c r="N68" s="218"/>
      <c r="O68" s="218"/>
      <c r="P68" s="218"/>
    </row>
    <row r="69" spans="1:16" s="92" customFormat="1" ht="12.5">
      <c r="A69" s="218"/>
      <c r="B69" s="218"/>
      <c r="C69" s="31" t="s">
        <v>192</v>
      </c>
      <c r="D69" s="509" t="s">
        <v>287</v>
      </c>
      <c r="E69" s="509"/>
      <c r="F69" s="509"/>
      <c r="G69" s="509"/>
      <c r="H69" s="509"/>
      <c r="I69" s="509"/>
      <c r="J69" s="509"/>
      <c r="K69" s="250"/>
      <c r="L69" s="218"/>
      <c r="M69" s="218"/>
      <c r="N69" s="218"/>
      <c r="O69" s="218"/>
      <c r="P69" s="218"/>
    </row>
    <row r="70" spans="1:16" s="92" customFormat="1" ht="12.5">
      <c r="A70" s="218"/>
      <c r="B70" s="218"/>
      <c r="C70" s="33" t="s">
        <v>8</v>
      </c>
      <c r="D70" s="70">
        <f>D47</f>
        <v>12</v>
      </c>
      <c r="E70" s="70">
        <f t="shared" ref="E70:J70" si="13">E47</f>
        <v>24</v>
      </c>
      <c r="F70" s="70">
        <f t="shared" si="13"/>
        <v>36</v>
      </c>
      <c r="G70" s="70">
        <f t="shared" si="13"/>
        <v>48</v>
      </c>
      <c r="H70" s="70">
        <f t="shared" si="13"/>
        <v>60</v>
      </c>
      <c r="I70" s="70">
        <f t="shared" si="13"/>
        <v>72</v>
      </c>
      <c r="J70" s="70">
        <f t="shared" si="13"/>
        <v>84</v>
      </c>
      <c r="K70" s="70"/>
      <c r="L70" s="33"/>
      <c r="M70" s="218"/>
      <c r="N70" s="218"/>
      <c r="O70" s="218"/>
      <c r="P70" s="218"/>
    </row>
    <row r="71" spans="1:16" s="92" customFormat="1" ht="4.5" customHeight="1">
      <c r="A71" s="218"/>
      <c r="B71" s="218"/>
      <c r="C71" s="218"/>
      <c r="D71" s="218"/>
      <c r="E71" s="218"/>
      <c r="F71" s="218"/>
      <c r="G71" s="218"/>
      <c r="H71" s="218"/>
      <c r="I71" s="218"/>
      <c r="J71" s="218"/>
      <c r="K71" s="218"/>
      <c r="L71" s="218"/>
      <c r="M71" s="218"/>
      <c r="N71" s="218"/>
      <c r="O71" s="218"/>
      <c r="P71" s="218"/>
    </row>
    <row r="72" spans="1:16" s="92" customFormat="1" ht="12.5">
      <c r="A72" s="218"/>
      <c r="B72" s="218"/>
      <c r="C72" s="31">
        <f>C49</f>
        <v>2013</v>
      </c>
      <c r="D72" s="255"/>
      <c r="E72" s="255"/>
      <c r="F72" s="255"/>
      <c r="G72" s="255"/>
      <c r="H72" s="421"/>
      <c r="I72" s="421"/>
      <c r="J72" s="421">
        <v>0.9282723828263808</v>
      </c>
      <c r="K72" s="255"/>
      <c r="L72" s="255"/>
      <c r="M72" s="218"/>
      <c r="N72" s="218"/>
      <c r="O72" s="218"/>
      <c r="P72" s="218"/>
    </row>
    <row r="73" spans="1:16" s="92" customFormat="1" ht="12.5">
      <c r="A73" s="218"/>
      <c r="B73" s="218"/>
      <c r="C73" s="31">
        <f t="shared" ref="C73:C81" si="14">C50</f>
        <v>2014</v>
      </c>
      <c r="D73" s="255"/>
      <c r="E73" s="255"/>
      <c r="F73" s="255"/>
      <c r="G73" s="255"/>
      <c r="H73" s="421"/>
      <c r="I73" s="421">
        <v>0.90448364308207063</v>
      </c>
      <c r="J73" s="421">
        <v>0.93233229096885728</v>
      </c>
      <c r="K73" s="255"/>
      <c r="L73" s="255"/>
      <c r="M73" s="218"/>
      <c r="N73" s="218"/>
      <c r="O73" s="218"/>
      <c r="P73" s="218"/>
    </row>
    <row r="74" spans="1:16" s="92" customFormat="1" ht="12.5">
      <c r="A74" s="218"/>
      <c r="B74" s="218"/>
      <c r="C74" s="31">
        <f t="shared" si="14"/>
        <v>2015</v>
      </c>
      <c r="D74" s="255"/>
      <c r="E74" s="255"/>
      <c r="F74" s="255"/>
      <c r="G74" s="255"/>
      <c r="H74" s="421">
        <v>0.8729881964127284</v>
      </c>
      <c r="I74" s="421">
        <v>0.91077266250210109</v>
      </c>
      <c r="J74" s="421">
        <v>0.93593972638001677</v>
      </c>
      <c r="K74" s="255"/>
      <c r="L74" s="255"/>
      <c r="M74" s="218"/>
      <c r="N74" s="218"/>
      <c r="O74" s="218"/>
      <c r="P74" s="218"/>
    </row>
    <row r="75" spans="1:16" s="92" customFormat="1" ht="12.5">
      <c r="A75" s="218"/>
      <c r="B75" s="218"/>
      <c r="C75" s="31">
        <f t="shared" si="14"/>
        <v>2016</v>
      </c>
      <c r="D75" s="255"/>
      <c r="E75" s="255"/>
      <c r="F75" s="255"/>
      <c r="G75" s="255">
        <f>G52/HLOOKUP($C75,$D$41:$J$42,2,FALSE)</f>
        <v>0.81919701452958371</v>
      </c>
      <c r="H75" s="255">
        <f>H52/HLOOKUP($C75,$D$41:$J$42,2,FALSE)</f>
        <v>0.8788287985222768</v>
      </c>
      <c r="I75" s="255">
        <f>I52/HLOOKUP($C75,$D$41:$J$42,2,FALSE)</f>
        <v>0.9145311764159163</v>
      </c>
      <c r="J75" s="255">
        <f>J52/HLOOKUP($C75,$D$41:$J$42,2,FALSE)</f>
        <v>0.9387969531376722</v>
      </c>
      <c r="K75" s="255"/>
      <c r="L75" s="218"/>
      <c r="M75" s="218"/>
      <c r="N75" s="218"/>
      <c r="O75" s="218"/>
      <c r="P75" s="218"/>
    </row>
    <row r="76" spans="1:16" s="92" customFormat="1" ht="12.5">
      <c r="A76" s="218"/>
      <c r="B76" s="218"/>
      <c r="C76" s="31">
        <f t="shared" si="14"/>
        <v>2017</v>
      </c>
      <c r="D76" s="255"/>
      <c r="E76" s="255"/>
      <c r="F76" s="255">
        <f>F53/HLOOKUP($C76,$D$41:$J$42,2,FALSE)</f>
        <v>0.72128485589972247</v>
      </c>
      <c r="G76" s="255">
        <f>G53/HLOOKUP($C76,$D$41:$J$42,2,FALSE)</f>
        <v>0.8204071721300088</v>
      </c>
      <c r="H76" s="255">
        <f>H53/HLOOKUP($C76,$D$41:$J$42,2,FALSE)</f>
        <v>0.87973986780661673</v>
      </c>
      <c r="I76" s="255">
        <f>I53/HLOOKUP($C76,$D$41:$J$42,2,FALSE)</f>
        <v>0.91577764671859441</v>
      </c>
      <c r="J76" s="255"/>
      <c r="K76" s="255"/>
      <c r="L76" s="218"/>
      <c r="M76" s="218"/>
      <c r="N76" s="218"/>
      <c r="O76" s="218"/>
      <c r="P76" s="218"/>
    </row>
    <row r="77" spans="1:16" s="92" customFormat="1" ht="12.5">
      <c r="A77" s="218"/>
      <c r="B77" s="218"/>
      <c r="C77" s="31">
        <f t="shared" si="14"/>
        <v>2018</v>
      </c>
      <c r="D77" s="255"/>
      <c r="E77" s="255">
        <f>E54/HLOOKUP($C77,$D$41:$J$42,2,FALSE)</f>
        <v>0.54392560765708498</v>
      </c>
      <c r="F77" s="255">
        <f>F54/HLOOKUP($C77,$D$41:$J$42,2,FALSE)</f>
        <v>0.70568654981673018</v>
      </c>
      <c r="G77" s="255">
        <f>G54/HLOOKUP($C77,$D$41:$J$42,2,FALSE)</f>
        <v>0.80906780088875208</v>
      </c>
      <c r="H77" s="255">
        <f>H54/HLOOKUP($C77,$D$41:$J$42,2,FALSE)</f>
        <v>0.87406420775309357</v>
      </c>
      <c r="I77" s="255"/>
      <c r="J77" s="255"/>
      <c r="K77" s="255"/>
      <c r="L77" s="218"/>
      <c r="M77" s="218"/>
      <c r="N77" s="218"/>
      <c r="O77" s="218"/>
      <c r="P77" s="218"/>
    </row>
    <row r="78" spans="1:16" s="92" customFormat="1" ht="12.5">
      <c r="A78" s="218"/>
      <c r="B78" s="218"/>
      <c r="C78" s="31">
        <f t="shared" si="14"/>
        <v>2019</v>
      </c>
      <c r="D78" s="255">
        <f>D55/HLOOKUP($C78,$D$41:$J$42,2,FALSE)</f>
        <v>0.24459372029994153</v>
      </c>
      <c r="E78" s="255">
        <f>E55/HLOOKUP($C78,$D$41:$J$42,2,FALSE)</f>
        <v>0.51972780071959102</v>
      </c>
      <c r="F78" s="255">
        <f>F55/HLOOKUP($C78,$D$41:$J$42,2,FALSE)</f>
        <v>0.68256028243047484</v>
      </c>
      <c r="G78" s="255">
        <f>G55/HLOOKUP($C78,$D$41:$J$42,2,FALSE)</f>
        <v>0.79777017979084275</v>
      </c>
      <c r="H78" s="255"/>
      <c r="I78" s="255"/>
      <c r="J78" s="255"/>
      <c r="K78" s="255"/>
      <c r="L78" s="218"/>
      <c r="M78" s="218"/>
      <c r="N78" s="218"/>
      <c r="O78" s="218"/>
      <c r="P78" s="218"/>
    </row>
    <row r="79" spans="1:16" s="92" customFormat="1" ht="12.5">
      <c r="A79" s="218"/>
      <c r="B79" s="218"/>
      <c r="C79" s="31">
        <f t="shared" si="14"/>
        <v>2020</v>
      </c>
      <c r="D79" s="255">
        <f>D56/HLOOKUP($C79,$D$41:$J$42,2,FALSE)</f>
        <v>0.23592208216521474</v>
      </c>
      <c r="E79" s="255">
        <f>E56/HLOOKUP($C79,$D$41:$J$42,2,FALSE)</f>
        <v>0.51302262064204995</v>
      </c>
      <c r="F79" s="255">
        <f>F56/HLOOKUP($C79,$D$41:$J$42,2,FALSE)</f>
        <v>0.68138134060595512</v>
      </c>
      <c r="G79" s="255"/>
      <c r="H79" s="255"/>
      <c r="I79" s="255"/>
      <c r="J79" s="255"/>
      <c r="K79" s="255"/>
      <c r="L79" s="218"/>
      <c r="M79" s="218"/>
      <c r="N79" s="218"/>
      <c r="O79" s="218"/>
      <c r="P79" s="218"/>
    </row>
    <row r="80" spans="1:16" s="92" customFormat="1" ht="12.5">
      <c r="A80" s="218"/>
      <c r="B80" s="218"/>
      <c r="C80" s="31">
        <f t="shared" si="14"/>
        <v>2021</v>
      </c>
      <c r="D80" s="255">
        <f>D57/HLOOKUP($C80,$D$41:$J$42,2,FALSE)</f>
        <v>0.2469298454486594</v>
      </c>
      <c r="E80" s="255">
        <f>E57/HLOOKUP($C80,$D$41:$J$42,2,FALSE)</f>
        <v>0.53739391274376458</v>
      </c>
      <c r="F80" s="255"/>
      <c r="G80" s="255"/>
      <c r="H80" s="255"/>
      <c r="I80" s="255"/>
      <c r="J80" s="255"/>
      <c r="K80" s="255"/>
      <c r="L80" s="218"/>
      <c r="M80" s="218"/>
      <c r="N80" s="218"/>
      <c r="O80" s="218"/>
      <c r="P80" s="218"/>
    </row>
    <row r="81" spans="1:16" s="92" customFormat="1" ht="12.5">
      <c r="A81" s="218"/>
      <c r="B81" s="218"/>
      <c r="C81" s="31">
        <f t="shared" si="14"/>
        <v>2022</v>
      </c>
      <c r="D81" s="255">
        <f>D58/HLOOKUP($C81,$D$41:$J$42,2,FALSE)</f>
        <v>0.25238552518786989</v>
      </c>
      <c r="E81" s="255"/>
      <c r="F81" s="255"/>
      <c r="G81" s="255"/>
      <c r="H81" s="255"/>
      <c r="I81" s="255"/>
      <c r="J81" s="255"/>
      <c r="K81" s="255"/>
      <c r="L81" s="218"/>
      <c r="M81" s="218"/>
      <c r="N81" s="218"/>
      <c r="O81" s="218"/>
      <c r="P81" s="218"/>
    </row>
    <row r="82" spans="1:16" s="92" customFormat="1" ht="12.5">
      <c r="A82" s="218"/>
      <c r="B82" s="218"/>
      <c r="C82" s="31"/>
      <c r="D82" s="255"/>
      <c r="E82" s="255"/>
      <c r="F82" s="255"/>
      <c r="G82" s="255"/>
      <c r="H82" s="255"/>
      <c r="I82" s="255"/>
      <c r="J82" s="255"/>
      <c r="K82" s="255"/>
      <c r="L82" s="218"/>
      <c r="M82" s="218"/>
      <c r="N82" s="218"/>
      <c r="O82" s="218"/>
      <c r="P82" s="218"/>
    </row>
    <row r="83" spans="1:16" s="92" customFormat="1" ht="12.5">
      <c r="A83" s="118"/>
      <c r="B83" s="118" t="s">
        <v>290</v>
      </c>
      <c r="C83" s="118"/>
      <c r="D83" s="118"/>
      <c r="E83" s="118"/>
      <c r="F83" s="118"/>
      <c r="G83" s="118"/>
      <c r="H83" s="118"/>
      <c r="I83" s="118"/>
      <c r="J83" s="118"/>
      <c r="K83" s="118"/>
      <c r="L83" s="118"/>
      <c r="M83" s="218"/>
      <c r="N83" s="218"/>
      <c r="O83" s="218"/>
      <c r="P83" s="218"/>
    </row>
    <row r="84" spans="1:16" s="92" customFormat="1" ht="12.5">
      <c r="A84" s="218"/>
      <c r="B84" s="218"/>
      <c r="C84" s="218"/>
      <c r="D84" s="218"/>
      <c r="E84" s="218"/>
      <c r="F84" s="218"/>
      <c r="G84" s="218"/>
      <c r="H84" s="218"/>
      <c r="I84" s="218"/>
      <c r="J84" s="218"/>
      <c r="K84" s="218"/>
      <c r="L84" s="218"/>
      <c r="M84" s="218"/>
      <c r="N84" s="218"/>
      <c r="O84" s="218"/>
      <c r="P84" s="218"/>
    </row>
    <row r="85" spans="1:16" s="92" customFormat="1" ht="12.5">
      <c r="A85" s="218"/>
      <c r="B85" s="218"/>
      <c r="C85" s="31" t="s">
        <v>192</v>
      </c>
      <c r="D85" s="509" t="s">
        <v>287</v>
      </c>
      <c r="E85" s="509"/>
      <c r="F85" s="509"/>
      <c r="G85" s="509"/>
      <c r="H85" s="509"/>
      <c r="I85" s="509"/>
      <c r="J85" s="509"/>
      <c r="K85" s="250"/>
      <c r="L85" s="218"/>
      <c r="M85" s="218"/>
      <c r="N85" s="218"/>
      <c r="O85" s="218"/>
      <c r="P85" s="218"/>
    </row>
    <row r="86" spans="1:16" s="92" customFormat="1" ht="12.5">
      <c r="A86" s="218"/>
      <c r="B86" s="218"/>
      <c r="C86" s="33" t="s">
        <v>8</v>
      </c>
      <c r="D86" s="70">
        <f t="shared" ref="D86:J86" si="15">+D70</f>
        <v>12</v>
      </c>
      <c r="E86" s="70">
        <f t="shared" si="15"/>
        <v>24</v>
      </c>
      <c r="F86" s="70">
        <f t="shared" si="15"/>
        <v>36</v>
      </c>
      <c r="G86" s="70">
        <f t="shared" si="15"/>
        <v>48</v>
      </c>
      <c r="H86" s="70">
        <f t="shared" si="15"/>
        <v>60</v>
      </c>
      <c r="I86" s="70">
        <f t="shared" si="15"/>
        <v>72</v>
      </c>
      <c r="J86" s="70">
        <f t="shared" si="15"/>
        <v>84</v>
      </c>
      <c r="K86" s="70"/>
      <c r="L86" s="218"/>
      <c r="M86" s="218"/>
      <c r="N86" s="218"/>
      <c r="O86" s="218"/>
      <c r="P86" s="218"/>
    </row>
    <row r="87" spans="1:16" s="92" customFormat="1" ht="4.5" customHeight="1">
      <c r="A87" s="218"/>
      <c r="B87" s="218"/>
      <c r="C87" s="218"/>
      <c r="D87" s="218"/>
      <c r="E87" s="218"/>
      <c r="F87" s="218"/>
      <c r="G87" s="218"/>
      <c r="H87" s="218"/>
      <c r="I87" s="218"/>
      <c r="J87" s="218"/>
      <c r="K87" s="218"/>
      <c r="L87" s="218"/>
      <c r="M87" s="218"/>
      <c r="N87" s="218"/>
      <c r="O87" s="218"/>
      <c r="P87" s="218"/>
    </row>
    <row r="88" spans="1:16" s="92" customFormat="1" ht="12.5">
      <c r="A88" s="218"/>
      <c r="B88" s="218"/>
      <c r="C88" s="31">
        <f t="shared" ref="C88:C97" si="16">+C72</f>
        <v>2013</v>
      </c>
      <c r="D88" s="79"/>
      <c r="E88" s="79"/>
      <c r="F88" s="79"/>
      <c r="G88" s="79"/>
      <c r="H88" s="422"/>
      <c r="I88" s="422"/>
      <c r="J88" s="422">
        <v>126232.3903378313</v>
      </c>
      <c r="K88" s="79"/>
      <c r="L88" s="218"/>
      <c r="M88" s="218"/>
      <c r="N88" s="218"/>
      <c r="O88" s="218"/>
      <c r="P88" s="218"/>
    </row>
    <row r="89" spans="1:16" s="92" customFormat="1" ht="12.5">
      <c r="A89" s="218"/>
      <c r="B89" s="218"/>
      <c r="C89" s="31">
        <f t="shared" si="16"/>
        <v>2014</v>
      </c>
      <c r="D89" s="79"/>
      <c r="E89" s="79"/>
      <c r="F89" s="79"/>
      <c r="G89" s="79"/>
      <c r="H89" s="422"/>
      <c r="I89" s="422">
        <v>128420.52371999399</v>
      </c>
      <c r="J89" s="422">
        <v>131648.54680682239</v>
      </c>
      <c r="K89" s="79"/>
      <c r="L89" s="218"/>
      <c r="M89" s="218"/>
      <c r="N89" s="218"/>
      <c r="O89" s="218"/>
      <c r="P89" s="218"/>
    </row>
    <row r="90" spans="1:16" s="92" customFormat="1" ht="12.5">
      <c r="A90" s="218"/>
      <c r="B90" s="218"/>
      <c r="C90" s="31">
        <f t="shared" si="16"/>
        <v>2015</v>
      </c>
      <c r="D90" s="79"/>
      <c r="E90" s="79"/>
      <c r="F90" s="79"/>
      <c r="G90" s="79"/>
      <c r="H90" s="422">
        <v>127113.55666655801</v>
      </c>
      <c r="I90" s="422">
        <v>133179.86568672556</v>
      </c>
      <c r="J90" s="422">
        <v>136527.52125364117</v>
      </c>
      <c r="K90" s="79"/>
      <c r="L90" s="218"/>
      <c r="M90" s="218"/>
      <c r="N90" s="218"/>
      <c r="O90" s="218"/>
      <c r="P90" s="218"/>
    </row>
    <row r="91" spans="1:16" s="92" customFormat="1" ht="12.5">
      <c r="A91" s="218"/>
      <c r="B91" s="218"/>
      <c r="C91" s="31">
        <f t="shared" si="16"/>
        <v>2016</v>
      </c>
      <c r="D91" s="79"/>
      <c r="E91" s="79"/>
      <c r="F91" s="79"/>
      <c r="G91" s="79">
        <f>HLOOKUP($C91,$D$41:$J$42,2,FALSE)*G$78</f>
        <v>118584.99612442465</v>
      </c>
      <c r="H91" s="79">
        <f t="shared" ref="H91:H92" si="17">HLOOKUP($C91,$D$41:$J$42,2,FALSE)*H$77</f>
        <v>129925.76473098282</v>
      </c>
      <c r="I91" s="79">
        <f>HLOOKUP($C91,$D$41:$J$42,2,FALSE)*I$76</f>
        <v>136126.28227772444</v>
      </c>
      <c r="J91" s="79">
        <f>HLOOKUP($C91,$D$41:$J$42,2,FALSE)*J$75</f>
        <v>139548</v>
      </c>
      <c r="K91" s="79"/>
      <c r="L91" s="218"/>
      <c r="M91" s="218"/>
      <c r="N91" s="218"/>
      <c r="O91" s="218"/>
      <c r="P91" s="218"/>
    </row>
    <row r="92" spans="1:16" s="92" customFormat="1" ht="12.5">
      <c r="A92" s="218"/>
      <c r="B92" s="218"/>
      <c r="C92" s="31">
        <f t="shared" si="16"/>
        <v>2017</v>
      </c>
      <c r="D92" s="79"/>
      <c r="E92" s="79"/>
      <c r="F92" s="79">
        <f>HLOOKUP($C92,$D$41:$J$42,2,FALSE)*F$79</f>
        <v>101703.00006755591</v>
      </c>
      <c r="G92" s="79">
        <f t="shared" ref="G92:G94" si="18">HLOOKUP($C92,$D$41:$J$42,2,FALSE)*G$78</f>
        <v>119075.20182018478</v>
      </c>
      <c r="H92" s="79">
        <f t="shared" si="17"/>
        <v>130462.85080408343</v>
      </c>
      <c r="I92" s="79">
        <f>HLOOKUP($C92,$D$41:$J$42,2,FALSE)*I$76</f>
        <v>136689</v>
      </c>
      <c r="J92" s="79"/>
      <c r="K92" s="79"/>
      <c r="L92" s="218"/>
      <c r="M92" s="218"/>
      <c r="N92" s="218"/>
      <c r="O92" s="218"/>
      <c r="P92" s="218"/>
    </row>
    <row r="93" spans="1:16" s="92" customFormat="1" ht="12.5">
      <c r="A93" s="218"/>
      <c r="B93" s="218"/>
      <c r="C93" s="31">
        <f t="shared" si="16"/>
        <v>2018</v>
      </c>
      <c r="D93" s="79"/>
      <c r="E93" s="79">
        <f>HLOOKUP($C93,$D$41:$J$42,2,FALSE)*E$80</f>
        <v>81704.926501827242</v>
      </c>
      <c r="F93" s="79">
        <f t="shared" ref="F93:F95" si="19">HLOOKUP($C93,$D$41:$J$42,2,FALSE)*F$79</f>
        <v>103596.65607241668</v>
      </c>
      <c r="G93" s="79">
        <f t="shared" si="18"/>
        <v>121292.31902230291</v>
      </c>
      <c r="H93" s="79">
        <f>HLOOKUP($C93,$D$41:$J$42,2,FALSE)*H$77</f>
        <v>132892</v>
      </c>
      <c r="I93" s="79"/>
      <c r="J93" s="79"/>
      <c r="K93" s="79"/>
      <c r="L93" s="218"/>
      <c r="M93" s="218"/>
      <c r="N93" s="218"/>
      <c r="O93" s="218"/>
      <c r="P93" s="218"/>
    </row>
    <row r="94" spans="1:16" s="92" customFormat="1" ht="12.5">
      <c r="A94" s="218"/>
      <c r="B94" s="218"/>
      <c r="C94" s="31">
        <f t="shared" si="16"/>
        <v>2019</v>
      </c>
      <c r="D94" s="79">
        <f t="shared" ref="D94:D96" si="20">HLOOKUP($C94,$D$41:$J$42,2,FALSE)*D$81</f>
        <v>39138.302318786853</v>
      </c>
      <c r="E94" s="79">
        <f t="shared" ref="E94:E96" si="21">HLOOKUP($C94,$D$41:$J$42,2,FALSE)*E$80</f>
        <v>83335.545513495599</v>
      </c>
      <c r="F94" s="79">
        <f t="shared" si="19"/>
        <v>105664.17738562872</v>
      </c>
      <c r="G94" s="79">
        <f t="shared" si="18"/>
        <v>123713</v>
      </c>
      <c r="H94" s="79"/>
      <c r="I94" s="79"/>
      <c r="J94" s="79"/>
      <c r="K94" s="79"/>
      <c r="L94" s="218"/>
      <c r="M94" s="218"/>
      <c r="N94" s="218"/>
      <c r="O94" s="218"/>
      <c r="P94" s="218"/>
    </row>
    <row r="95" spans="1:16" s="92" customFormat="1" ht="12.5">
      <c r="A95" s="218"/>
      <c r="B95" s="218"/>
      <c r="C95" s="31">
        <f t="shared" si="16"/>
        <v>2020</v>
      </c>
      <c r="D95" s="79">
        <f t="shared" si="20"/>
        <v>34206.323943134543</v>
      </c>
      <c r="E95" s="79">
        <f t="shared" si="21"/>
        <v>72834.090824735118</v>
      </c>
      <c r="F95" s="79">
        <f t="shared" si="19"/>
        <v>92349</v>
      </c>
      <c r="G95" s="79"/>
      <c r="H95" s="79"/>
      <c r="I95" s="79"/>
      <c r="J95" s="79"/>
      <c r="K95" s="79"/>
      <c r="L95" s="218"/>
      <c r="M95" s="218"/>
      <c r="N95" s="218"/>
      <c r="O95" s="218"/>
      <c r="P95" s="218"/>
    </row>
    <row r="96" spans="1:16" s="92" customFormat="1" ht="12.5">
      <c r="A96" s="218"/>
      <c r="B96" s="218"/>
      <c r="C96" s="31">
        <f t="shared" si="16"/>
        <v>2021</v>
      </c>
      <c r="D96" s="79">
        <f t="shared" si="20"/>
        <v>37799.082065348928</v>
      </c>
      <c r="E96" s="79">
        <f t="shared" si="21"/>
        <v>80484</v>
      </c>
      <c r="F96" s="79"/>
      <c r="G96" s="79"/>
      <c r="H96" s="79"/>
      <c r="I96" s="79"/>
      <c r="J96" s="79"/>
      <c r="K96" s="79"/>
      <c r="L96" s="218"/>
      <c r="M96" s="218"/>
      <c r="N96" s="218"/>
      <c r="O96" s="218"/>
      <c r="P96" s="218"/>
    </row>
    <row r="97" spans="1:16" s="92" customFormat="1" ht="12.5">
      <c r="A97" s="218"/>
      <c r="B97" s="218"/>
      <c r="C97" s="31">
        <f t="shared" si="16"/>
        <v>2022</v>
      </c>
      <c r="D97" s="79">
        <f>HLOOKUP($C97,$D$41:$J$42,2,FALSE)*D$81</f>
        <v>39761.999999999993</v>
      </c>
      <c r="E97" s="79"/>
      <c r="F97" s="79"/>
      <c r="G97" s="79"/>
      <c r="H97" s="79"/>
      <c r="I97" s="79"/>
      <c r="J97" s="79"/>
      <c r="K97" s="79"/>
      <c r="L97" s="218"/>
      <c r="M97" s="218"/>
      <c r="N97" s="218"/>
      <c r="O97" s="218"/>
      <c r="P97" s="218"/>
    </row>
    <row r="98" spans="1:16" s="92" customFormat="1" ht="12.5">
      <c r="A98" s="218"/>
      <c r="B98" s="218"/>
      <c r="C98" s="31"/>
      <c r="D98" s="79"/>
      <c r="E98" s="79"/>
      <c r="F98" s="79"/>
      <c r="G98" s="79"/>
      <c r="H98" s="79"/>
      <c r="I98" s="79"/>
      <c r="J98" s="79"/>
      <c r="K98" s="79"/>
      <c r="L98" s="218"/>
      <c r="M98" s="218"/>
      <c r="N98" s="218"/>
      <c r="O98" s="218"/>
      <c r="P98" s="218"/>
    </row>
    <row r="99" spans="1:16" s="92" customFormat="1" ht="12.5">
      <c r="A99" s="118"/>
      <c r="B99" s="118" t="s">
        <v>248</v>
      </c>
      <c r="C99" s="118"/>
      <c r="D99" s="118"/>
      <c r="E99" s="118"/>
      <c r="F99" s="118"/>
      <c r="G99" s="118"/>
      <c r="H99" s="118"/>
      <c r="I99" s="118"/>
      <c r="J99" s="118"/>
      <c r="K99" s="117"/>
      <c r="L99" s="218"/>
      <c r="M99" s="218"/>
      <c r="N99" s="218"/>
      <c r="O99" s="218"/>
      <c r="P99" s="218"/>
    </row>
    <row r="100" spans="1:16" s="92" customFormat="1" ht="12.5">
      <c r="A100" s="218"/>
      <c r="B100" s="218"/>
      <c r="C100" s="218"/>
      <c r="D100" s="218"/>
      <c r="E100" s="218"/>
      <c r="F100" s="218"/>
      <c r="G100" s="218"/>
      <c r="H100" s="218"/>
      <c r="I100" s="218"/>
      <c r="J100" s="218"/>
      <c r="K100" s="218"/>
      <c r="L100" s="218"/>
      <c r="M100" s="218"/>
      <c r="N100" s="218"/>
      <c r="O100" s="218"/>
      <c r="P100" s="218"/>
    </row>
    <row r="101" spans="1:16" s="92" customFormat="1" ht="12.5">
      <c r="A101" s="218"/>
      <c r="B101" s="218"/>
      <c r="C101" s="31" t="s">
        <v>192</v>
      </c>
      <c r="D101" s="509" t="s">
        <v>287</v>
      </c>
      <c r="E101" s="509"/>
      <c r="F101" s="509"/>
      <c r="G101" s="509"/>
      <c r="H101" s="509"/>
      <c r="I101" s="509"/>
      <c r="J101" s="509"/>
      <c r="K101" s="250"/>
      <c r="L101" s="218"/>
      <c r="M101" s="218"/>
      <c r="N101" s="218"/>
      <c r="O101" s="218"/>
      <c r="P101" s="218"/>
    </row>
    <row r="102" spans="1:16" s="92" customFormat="1" ht="12.5">
      <c r="A102" s="218"/>
      <c r="B102" s="218"/>
      <c r="C102" s="33" t="s">
        <v>8</v>
      </c>
      <c r="D102" s="70">
        <f t="shared" ref="D102:J102" si="22">+D70</f>
        <v>12</v>
      </c>
      <c r="E102" s="70">
        <f t="shared" si="22"/>
        <v>24</v>
      </c>
      <c r="F102" s="70">
        <f t="shared" si="22"/>
        <v>36</v>
      </c>
      <c r="G102" s="70">
        <f t="shared" si="22"/>
        <v>48</v>
      </c>
      <c r="H102" s="70">
        <f t="shared" si="22"/>
        <v>60</v>
      </c>
      <c r="I102" s="70">
        <f t="shared" si="22"/>
        <v>72</v>
      </c>
      <c r="J102" s="70">
        <f t="shared" si="22"/>
        <v>84</v>
      </c>
      <c r="K102" s="70"/>
      <c r="L102" s="218"/>
      <c r="M102" s="218"/>
      <c r="N102" s="218"/>
      <c r="O102" s="218"/>
      <c r="P102" s="218"/>
    </row>
    <row r="103" spans="1:16" s="92" customFormat="1" ht="4.5" customHeight="1">
      <c r="A103" s="218"/>
      <c r="B103" s="218"/>
      <c r="C103" s="218"/>
      <c r="D103" s="218"/>
      <c r="E103" s="218"/>
      <c r="F103" s="218"/>
      <c r="G103" s="218"/>
      <c r="H103" s="218"/>
      <c r="I103" s="218"/>
      <c r="J103" s="218"/>
      <c r="K103" s="218"/>
      <c r="L103" s="218"/>
      <c r="M103" s="218"/>
      <c r="N103" s="218"/>
      <c r="O103" s="218"/>
      <c r="P103" s="218"/>
    </row>
    <row r="104" spans="1:16" s="92" customFormat="1" ht="12.5">
      <c r="A104" s="218"/>
      <c r="B104" s="218"/>
      <c r="C104" s="31">
        <f t="shared" ref="C104:C111" si="23">+C72</f>
        <v>2013</v>
      </c>
      <c r="D104" s="422"/>
      <c r="E104" s="422"/>
      <c r="F104" s="422"/>
      <c r="G104" s="422"/>
      <c r="H104" s="422"/>
      <c r="I104" s="422"/>
      <c r="J104" s="422">
        <v>18223.85997544145</v>
      </c>
      <c r="K104" s="79"/>
      <c r="L104" s="218"/>
      <c r="M104" s="218"/>
      <c r="N104" s="218"/>
      <c r="O104" s="218"/>
      <c r="P104" s="218"/>
    </row>
    <row r="105" spans="1:16" s="92" customFormat="1" ht="12.5">
      <c r="A105" s="218"/>
      <c r="B105" s="218"/>
      <c r="C105" s="31">
        <f t="shared" si="23"/>
        <v>2014</v>
      </c>
      <c r="D105" s="422"/>
      <c r="E105" s="422"/>
      <c r="F105" s="422"/>
      <c r="G105" s="422"/>
      <c r="H105" s="422"/>
      <c r="I105" s="422">
        <v>17931.004138030981</v>
      </c>
      <c r="J105" s="422">
        <v>19003.30030135687</v>
      </c>
      <c r="K105" s="79"/>
      <c r="L105" s="218"/>
      <c r="M105" s="218"/>
      <c r="N105" s="218"/>
      <c r="O105" s="218"/>
      <c r="P105" s="218"/>
    </row>
    <row r="106" spans="1:16" s="92" customFormat="1" ht="12.5">
      <c r="A106" s="218"/>
      <c r="B106" s="218"/>
      <c r="C106" s="31">
        <f t="shared" si="23"/>
        <v>2015</v>
      </c>
      <c r="D106" s="422"/>
      <c r="E106" s="422"/>
      <c r="F106" s="422"/>
      <c r="G106" s="422"/>
      <c r="H106" s="422">
        <v>16892.761958955205</v>
      </c>
      <c r="I106" s="422">
        <v>18273.194719596533</v>
      </c>
      <c r="J106" s="422">
        <v>19266.810347360995</v>
      </c>
      <c r="K106" s="79"/>
      <c r="L106" s="218"/>
      <c r="M106" s="218"/>
      <c r="N106" s="218"/>
      <c r="O106" s="218"/>
      <c r="P106" s="218"/>
    </row>
    <row r="107" spans="1:16" s="92" customFormat="1" ht="12.5">
      <c r="A107" s="218"/>
      <c r="B107" s="218"/>
      <c r="C107" s="31">
        <f t="shared" si="23"/>
        <v>2016</v>
      </c>
      <c r="D107" s="422"/>
      <c r="E107" s="422"/>
      <c r="F107" s="422"/>
      <c r="G107" s="422">
        <v>14481.106922887411</v>
      </c>
      <c r="H107" s="422">
        <v>16454.372475772001</v>
      </c>
      <c r="I107" s="422">
        <v>17823.843652761123</v>
      </c>
      <c r="J107" s="422">
        <v>18795.767162553388</v>
      </c>
      <c r="K107" s="79"/>
      <c r="L107" s="218"/>
      <c r="M107" s="218"/>
      <c r="N107" s="218"/>
      <c r="O107" s="218"/>
      <c r="P107" s="218"/>
    </row>
    <row r="108" spans="1:16" s="92" customFormat="1" ht="12.5">
      <c r="A108" s="218"/>
      <c r="B108" s="218"/>
      <c r="C108" s="31">
        <f t="shared" si="23"/>
        <v>2017</v>
      </c>
      <c r="D108" s="422"/>
      <c r="E108" s="422"/>
      <c r="F108" s="422">
        <v>11144.403942076369</v>
      </c>
      <c r="G108" s="422">
        <v>14345.243021869435</v>
      </c>
      <c r="H108" s="422">
        <v>16460.873551138528</v>
      </c>
      <c r="I108" s="422">
        <v>17949.303784503507</v>
      </c>
      <c r="J108" s="422"/>
      <c r="K108" s="79"/>
      <c r="L108" s="218"/>
      <c r="M108" s="218"/>
      <c r="N108" s="218"/>
      <c r="O108" s="218"/>
      <c r="P108" s="218"/>
    </row>
    <row r="109" spans="1:16" s="92" customFormat="1" ht="12.5">
      <c r="A109" s="218"/>
      <c r="B109" s="218"/>
      <c r="C109" s="31">
        <f t="shared" si="23"/>
        <v>2018</v>
      </c>
      <c r="D109" s="422"/>
      <c r="E109" s="422">
        <v>7039.2797528356186</v>
      </c>
      <c r="F109" s="422">
        <v>11389.688811840584</v>
      </c>
      <c r="G109" s="422">
        <v>14633.691537273393</v>
      </c>
      <c r="H109" s="422">
        <v>16912.63625349908</v>
      </c>
      <c r="I109" s="422"/>
      <c r="J109" s="422"/>
      <c r="K109" s="79"/>
      <c r="L109" s="218"/>
      <c r="M109" s="218"/>
      <c r="N109" s="218"/>
      <c r="O109" s="218"/>
      <c r="P109" s="218"/>
    </row>
    <row r="110" spans="1:16" s="92" customFormat="1" ht="12.5">
      <c r="A110" s="218"/>
      <c r="B110" s="218"/>
      <c r="C110" s="31">
        <f t="shared" si="23"/>
        <v>2019</v>
      </c>
      <c r="D110" s="422">
        <v>3160.0058001581865</v>
      </c>
      <c r="E110" s="422">
        <v>7059.0523599186063</v>
      </c>
      <c r="F110" s="422">
        <v>11449.384517274935</v>
      </c>
      <c r="G110" s="422">
        <v>15520.780095867047</v>
      </c>
      <c r="H110" s="422"/>
      <c r="I110" s="422"/>
      <c r="J110" s="422"/>
      <c r="K110" s="79"/>
      <c r="L110" s="218"/>
      <c r="M110" s="218"/>
      <c r="N110" s="218"/>
      <c r="O110" s="218"/>
      <c r="P110" s="218"/>
    </row>
    <row r="111" spans="1:16" s="92" customFormat="1" ht="12.5">
      <c r="A111" s="218"/>
      <c r="B111" s="218"/>
      <c r="C111" s="31">
        <f t="shared" si="23"/>
        <v>2020</v>
      </c>
      <c r="D111" s="422">
        <v>3295.3591590304932</v>
      </c>
      <c r="E111" s="422">
        <v>7663.3785361924902</v>
      </c>
      <c r="F111" s="422">
        <v>12663.699531126487</v>
      </c>
      <c r="G111" s="422"/>
      <c r="H111" s="422"/>
      <c r="I111" s="422"/>
      <c r="J111" s="422"/>
      <c r="K111" s="79"/>
      <c r="L111" s="218"/>
      <c r="M111" s="218"/>
      <c r="N111" s="218"/>
      <c r="O111" s="218"/>
      <c r="P111" s="218"/>
    </row>
    <row r="112" spans="1:16" s="92" customFormat="1" ht="12.5">
      <c r="A112" s="218"/>
      <c r="B112" s="218"/>
      <c r="C112" s="31">
        <f>+C80</f>
        <v>2021</v>
      </c>
      <c r="D112" s="422">
        <v>3157.5927478232652</v>
      </c>
      <c r="E112" s="422">
        <v>7451.8344515680137</v>
      </c>
      <c r="F112" s="422"/>
      <c r="G112" s="422"/>
      <c r="H112" s="422"/>
      <c r="I112" s="422"/>
      <c r="J112" s="422"/>
      <c r="K112" s="79"/>
      <c r="L112" s="218"/>
      <c r="M112" s="218"/>
      <c r="N112" s="218"/>
      <c r="O112" s="218"/>
      <c r="P112" s="218"/>
    </row>
    <row r="113" spans="1:16" s="92" customFormat="1" ht="12.5">
      <c r="A113" s="218"/>
      <c r="B113" s="218"/>
      <c r="C113" s="31">
        <f>+C81</f>
        <v>2022</v>
      </c>
      <c r="D113" s="422">
        <v>3458.2498868266184</v>
      </c>
      <c r="E113" s="422"/>
      <c r="F113" s="422"/>
      <c r="G113" s="422"/>
      <c r="H113" s="422"/>
      <c r="I113" s="422"/>
      <c r="J113" s="422"/>
      <c r="K113" s="79"/>
      <c r="L113" s="218"/>
      <c r="M113" s="218"/>
      <c r="N113" s="218"/>
      <c r="O113" s="218"/>
      <c r="P113" s="218"/>
    </row>
    <row r="114" spans="1:16" s="92" customFormat="1" ht="12.5">
      <c r="A114" s="218"/>
      <c r="B114" s="218"/>
      <c r="C114" s="218"/>
      <c r="D114" s="79"/>
      <c r="E114" s="79"/>
      <c r="F114" s="79"/>
      <c r="G114" s="79"/>
      <c r="H114" s="79"/>
      <c r="I114" s="79"/>
      <c r="J114" s="79"/>
      <c r="K114" s="79"/>
      <c r="L114" s="218"/>
      <c r="M114" s="218"/>
      <c r="N114" s="218"/>
      <c r="O114" s="218"/>
      <c r="P114" s="218"/>
    </row>
    <row r="115" spans="1:16" s="176" customFormat="1" ht="12.5">
      <c r="A115" s="218"/>
      <c r="B115" s="218"/>
      <c r="C115" s="218"/>
      <c r="D115" s="79"/>
      <c r="E115" s="79"/>
      <c r="F115" s="79"/>
      <c r="G115" s="79"/>
      <c r="H115" s="79"/>
      <c r="I115" s="79"/>
      <c r="J115" s="79"/>
      <c r="K115" s="79"/>
      <c r="L115" s="218"/>
      <c r="M115" s="218"/>
      <c r="N115" s="218"/>
      <c r="O115" s="218"/>
      <c r="P115" s="218"/>
    </row>
    <row r="116" spans="1:16" s="92" customFormat="1" ht="26.25" customHeight="1">
      <c r="A116" s="46" t="s">
        <v>22</v>
      </c>
      <c r="B116" s="510" t="s">
        <v>249</v>
      </c>
      <c r="C116" s="510"/>
      <c r="D116" s="510"/>
      <c r="E116" s="510"/>
      <c r="F116" s="510"/>
      <c r="G116" s="510"/>
      <c r="H116" s="510"/>
      <c r="I116" s="510"/>
      <c r="J116" s="510"/>
      <c r="K116" s="510"/>
      <c r="L116" s="251"/>
      <c r="M116" s="218"/>
      <c r="N116" s="218"/>
      <c r="O116" s="218"/>
      <c r="P116" s="218"/>
    </row>
    <row r="117" spans="1:16" s="92" customFormat="1" ht="40" customHeight="1">
      <c r="A117" s="46" t="s">
        <v>28</v>
      </c>
      <c r="B117" s="510" t="s">
        <v>250</v>
      </c>
      <c r="C117" s="510"/>
      <c r="D117" s="510"/>
      <c r="E117" s="510"/>
      <c r="F117" s="510"/>
      <c r="G117" s="510"/>
      <c r="H117" s="510"/>
      <c r="I117" s="510"/>
      <c r="J117" s="510"/>
      <c r="K117" s="510"/>
      <c r="L117" s="251"/>
      <c r="M117" s="218"/>
      <c r="N117" s="218"/>
      <c r="O117" s="218"/>
      <c r="P117" s="218"/>
    </row>
    <row r="118" spans="1:16" s="92" customFormat="1" ht="12.5">
      <c r="A118" s="218"/>
      <c r="B118" s="218"/>
      <c r="C118" s="218"/>
      <c r="D118" s="218"/>
      <c r="E118" s="218"/>
      <c r="F118" s="218"/>
      <c r="G118" s="218"/>
      <c r="H118" s="218"/>
      <c r="I118" s="218"/>
      <c r="J118" s="218"/>
      <c r="K118" s="218"/>
      <c r="L118" s="218"/>
      <c r="M118" s="218"/>
      <c r="N118" s="218"/>
      <c r="O118" s="218"/>
      <c r="P118" s="218"/>
    </row>
    <row r="119" spans="1:16" s="92" customFormat="1" ht="12.5">
      <c r="A119" s="218"/>
      <c r="B119" s="108" t="s">
        <v>420</v>
      </c>
      <c r="C119" s="41"/>
      <c r="D119" s="41"/>
      <c r="E119" s="41"/>
      <c r="F119" s="41"/>
      <c r="G119" s="41"/>
      <c r="H119" s="41"/>
      <c r="I119" s="41"/>
      <c r="J119" s="41"/>
      <c r="K119" s="41"/>
      <c r="L119" s="41"/>
      <c r="M119" s="218"/>
      <c r="N119" s="218"/>
      <c r="O119" s="218"/>
      <c r="P119" s="218"/>
    </row>
    <row r="120" spans="1:16" ht="45" customHeight="1">
      <c r="A120" s="218"/>
      <c r="B120" s="218"/>
      <c r="C120" s="31"/>
      <c r="D120" s="79"/>
      <c r="E120" s="72"/>
      <c r="F120" s="72"/>
      <c r="G120" s="72"/>
      <c r="H120" s="72"/>
      <c r="I120" s="79"/>
      <c r="J120" s="218"/>
      <c r="K120" s="218"/>
      <c r="L120" s="46" t="s">
        <v>352</v>
      </c>
      <c r="M120" s="57"/>
      <c r="N120" s="57"/>
      <c r="O120" s="57"/>
      <c r="P120" s="57"/>
    </row>
    <row r="121" spans="1:16" s="92" customFormat="1" ht="13">
      <c r="A121" s="122" t="s">
        <v>31</v>
      </c>
      <c r="B121" s="122"/>
      <c r="C121" s="122"/>
      <c r="D121" s="122"/>
      <c r="E121" s="122"/>
      <c r="F121" s="122"/>
      <c r="G121" s="122"/>
      <c r="H121" s="122"/>
      <c r="I121" s="122"/>
      <c r="J121" s="122"/>
      <c r="K121" s="122"/>
      <c r="L121" s="122"/>
      <c r="M121" s="248"/>
      <c r="N121" s="248"/>
      <c r="O121" s="218"/>
      <c r="P121" s="218"/>
    </row>
    <row r="122" spans="1:16" s="92" customFormat="1" ht="13">
      <c r="A122" s="122" t="s">
        <v>240</v>
      </c>
      <c r="B122" s="122"/>
      <c r="C122" s="122"/>
      <c r="D122" s="122"/>
      <c r="E122" s="122"/>
      <c r="F122" s="122"/>
      <c r="G122" s="122"/>
      <c r="H122" s="122"/>
      <c r="I122" s="122"/>
      <c r="J122" s="122"/>
      <c r="K122" s="122"/>
      <c r="L122" s="122"/>
      <c r="M122" s="248"/>
      <c r="N122" s="248"/>
      <c r="O122" s="218"/>
      <c r="P122" s="218"/>
    </row>
    <row r="123" spans="1:16" s="92" customFormat="1" ht="13">
      <c r="A123" s="122" t="s">
        <v>241</v>
      </c>
      <c r="B123" s="122"/>
      <c r="C123" s="122"/>
      <c r="D123" s="122"/>
      <c r="E123" s="122"/>
      <c r="F123" s="122"/>
      <c r="G123" s="122"/>
      <c r="H123" s="122"/>
      <c r="I123" s="122"/>
      <c r="J123" s="122"/>
      <c r="K123" s="122"/>
      <c r="L123" s="122"/>
      <c r="M123" s="248"/>
      <c r="N123" s="248"/>
      <c r="O123" s="218"/>
      <c r="P123" s="218"/>
    </row>
    <row r="124" spans="1:16" s="92" customFormat="1" ht="13">
      <c r="A124" s="248"/>
      <c r="B124" s="248"/>
      <c r="C124" s="248"/>
      <c r="D124" s="248"/>
      <c r="E124" s="248"/>
      <c r="F124" s="248"/>
      <c r="G124" s="248"/>
      <c r="H124" s="248"/>
      <c r="I124" s="248"/>
      <c r="J124" s="248"/>
      <c r="K124" s="248"/>
      <c r="L124" s="248"/>
      <c r="M124" s="248"/>
      <c r="N124" s="248"/>
      <c r="O124" s="218"/>
      <c r="P124" s="218"/>
    </row>
    <row r="125" spans="1:16" s="92" customFormat="1" ht="12.5">
      <c r="A125" s="218"/>
      <c r="B125" s="218"/>
      <c r="C125" s="218"/>
      <c r="D125" s="218"/>
      <c r="E125" s="218"/>
      <c r="F125" s="218"/>
      <c r="G125" s="218"/>
      <c r="H125" s="218"/>
      <c r="I125" s="218"/>
      <c r="J125" s="218"/>
      <c r="K125" s="218"/>
      <c r="L125" s="218"/>
      <c r="M125" s="218"/>
      <c r="N125" s="218"/>
      <c r="O125" s="218"/>
      <c r="P125" s="218"/>
    </row>
    <row r="126" spans="1:16" s="92" customFormat="1" ht="12.5">
      <c r="A126" s="118"/>
      <c r="B126" s="118" t="s">
        <v>291</v>
      </c>
      <c r="C126" s="118"/>
      <c r="D126" s="118"/>
      <c r="E126" s="118"/>
      <c r="F126" s="118"/>
      <c r="G126" s="118"/>
      <c r="H126" s="118"/>
      <c r="I126" s="118"/>
      <c r="J126" s="118"/>
      <c r="K126" s="117"/>
      <c r="L126" s="218"/>
      <c r="M126" s="218"/>
      <c r="N126" s="218"/>
      <c r="O126" s="218"/>
      <c r="P126" s="218"/>
    </row>
    <row r="127" spans="1:16" s="92" customFormat="1" ht="12.5">
      <c r="A127" s="218"/>
      <c r="B127" s="218"/>
      <c r="C127" s="218"/>
      <c r="D127" s="218"/>
      <c r="E127" s="218"/>
      <c r="F127" s="218"/>
      <c r="G127" s="218"/>
      <c r="H127" s="218"/>
      <c r="I127" s="218"/>
      <c r="J127" s="218"/>
      <c r="K127" s="218"/>
      <c r="L127" s="218"/>
      <c r="M127" s="218"/>
      <c r="N127" s="218"/>
      <c r="O127" s="218"/>
      <c r="P127" s="218"/>
    </row>
    <row r="128" spans="1:16" s="92" customFormat="1" ht="12.5">
      <c r="A128" s="218"/>
      <c r="B128" s="218"/>
      <c r="C128" s="31" t="s">
        <v>192</v>
      </c>
      <c r="D128" s="509" t="s">
        <v>287</v>
      </c>
      <c r="E128" s="509"/>
      <c r="F128" s="509"/>
      <c r="G128" s="509"/>
      <c r="H128" s="509"/>
      <c r="I128" s="509"/>
      <c r="J128" s="509"/>
      <c r="K128" s="250"/>
      <c r="L128" s="218"/>
      <c r="M128" s="218"/>
      <c r="N128" s="218"/>
      <c r="O128" s="218"/>
      <c r="P128" s="218"/>
    </row>
    <row r="129" spans="1:16" s="92" customFormat="1" ht="12.5">
      <c r="A129" s="218"/>
      <c r="B129" s="218"/>
      <c r="C129" s="33" t="s">
        <v>8</v>
      </c>
      <c r="D129" s="70">
        <f t="shared" ref="D129:J129" si="24">D102</f>
        <v>12</v>
      </c>
      <c r="E129" s="70">
        <f t="shared" si="24"/>
        <v>24</v>
      </c>
      <c r="F129" s="70">
        <f t="shared" si="24"/>
        <v>36</v>
      </c>
      <c r="G129" s="70">
        <f t="shared" si="24"/>
        <v>48</v>
      </c>
      <c r="H129" s="70">
        <f t="shared" si="24"/>
        <v>60</v>
      </c>
      <c r="I129" s="70">
        <f t="shared" si="24"/>
        <v>72</v>
      </c>
      <c r="J129" s="70">
        <f t="shared" si="24"/>
        <v>84</v>
      </c>
      <c r="K129" s="70"/>
      <c r="L129" s="218"/>
      <c r="M129" s="218"/>
      <c r="N129" s="218"/>
      <c r="O129" s="218"/>
      <c r="P129" s="218"/>
    </row>
    <row r="130" spans="1:16" s="92" customFormat="1" ht="4.5" customHeight="1">
      <c r="A130" s="218"/>
      <c r="B130" s="218"/>
      <c r="C130" s="218"/>
      <c r="D130" s="218"/>
      <c r="E130" s="218"/>
      <c r="F130" s="218"/>
      <c r="G130" s="218"/>
      <c r="H130" s="218"/>
      <c r="I130" s="218"/>
      <c r="J130" s="218"/>
      <c r="K130" s="218"/>
      <c r="L130" s="218"/>
      <c r="M130" s="218"/>
      <c r="N130" s="218"/>
      <c r="O130" s="218"/>
      <c r="P130" s="218"/>
    </row>
    <row r="131" spans="1:16" s="92" customFormat="1" ht="12.5">
      <c r="A131" s="218"/>
      <c r="B131" s="218"/>
      <c r="C131" s="31">
        <f t="shared" ref="C131:C140" si="25">C104</f>
        <v>2013</v>
      </c>
      <c r="D131" s="79"/>
      <c r="E131" s="79"/>
      <c r="F131" s="79"/>
      <c r="G131" s="79"/>
      <c r="H131" s="79"/>
      <c r="I131" s="79"/>
      <c r="J131" s="419">
        <v>18654.652869779911</v>
      </c>
      <c r="K131" s="79"/>
      <c r="L131" s="218"/>
      <c r="M131" s="218"/>
      <c r="N131" s="218"/>
      <c r="O131" s="218"/>
      <c r="P131" s="218"/>
    </row>
    <row r="132" spans="1:16" s="92" customFormat="1" ht="12.5">
      <c r="A132" s="218"/>
      <c r="B132" s="218"/>
      <c r="C132" s="31">
        <f t="shared" si="25"/>
        <v>2014</v>
      </c>
      <c r="D132" s="79"/>
      <c r="E132" s="79"/>
      <c r="F132" s="79"/>
      <c r="G132" s="79"/>
      <c r="H132" s="79"/>
      <c r="I132" s="423">
        <f>+IF(I89&lt;I50,INDEX(LOGEST(H105:I105,H50:I50),2)*EXP((INDEX(LOGEST(H105:I105,H50:I50),1)-1)*I89),INDEX(LOGEST(I105:J105,I50:J50),2)*EXP((INDEX(LOGEST(I105:J105,I50:J50),1)-1)*I89))</f>
        <v>18358.640977254705</v>
      </c>
      <c r="J132" s="419">
        <v>19276.106438005063</v>
      </c>
      <c r="K132" s="79"/>
      <c r="L132" s="218"/>
      <c r="M132" s="218"/>
      <c r="N132" s="218"/>
      <c r="O132" s="218"/>
      <c r="P132" s="218"/>
    </row>
    <row r="133" spans="1:16" s="92" customFormat="1" ht="12.5">
      <c r="A133" s="218"/>
      <c r="B133" s="218"/>
      <c r="C133" s="31">
        <f t="shared" si="25"/>
        <v>2015</v>
      </c>
      <c r="D133" s="79"/>
      <c r="E133" s="79"/>
      <c r="F133" s="79"/>
      <c r="G133" s="79"/>
      <c r="H133" s="423">
        <f>+IF(H90&lt;H51,INDEX(LOGEST(G106:H106,G51:H51),2)*EXP((INDEX(LOGEST(G106:H106,G51:H51),1)-1)*H90),INDEX(LOGEST(H106:I106,H51:I51),2)*EXP((INDEX(LOGEST(H106:I106,H51:I51),1)-1)*H90))</f>
        <v>16930.811828235139</v>
      </c>
      <c r="I133" s="423">
        <f>+IF(I90&lt;I51,INDEX(LOGEST(H106:I106,H51:I51),2)*EXP((INDEX(LOGEST(H106:I106,H51:I51),1)-1)*I90),INDEX(LOGEST(I106:J106,I51:J51),2)*EXP((INDEX(LOGEST(I106:J106,I51:J51),1)-1)*I90))</f>
        <v>18466.88426497038</v>
      </c>
      <c r="J133" s="419">
        <v>19391.80625817036</v>
      </c>
      <c r="K133" s="79"/>
      <c r="L133" s="218"/>
      <c r="M133" s="218"/>
      <c r="N133" s="218"/>
      <c r="O133" s="218"/>
      <c r="P133" s="218"/>
    </row>
    <row r="134" spans="1:16" s="92" customFormat="1" ht="12.5">
      <c r="A134" s="218"/>
      <c r="B134" s="218"/>
      <c r="C134" s="31">
        <f t="shared" si="25"/>
        <v>2016</v>
      </c>
      <c r="D134" s="79"/>
      <c r="E134" s="79"/>
      <c r="F134" s="79"/>
      <c r="G134" s="419">
        <v>13793.454207001305</v>
      </c>
      <c r="H134" s="423">
        <f>+IF(H91&lt;H52,INDEX(LOGEST(G107:H107,G52:H52),2)*EXP((INDEX(LOGEST(G107:H107,G52:H52),1)-1)*H91),INDEX(LOGEST(H107:I107,H52:I52),2)*EXP((INDEX(LOGEST(H107:I107,H52:I52),1)-1)*H91))</f>
        <v>16287.497289395464</v>
      </c>
      <c r="I134" s="423">
        <f>+IF(I91&lt;I52,INDEX(LOGEST(H107:I107,H52:I52),2)*EXP((INDEX(LOGEST(H107:I107,H52:I52),1)-1)*I91),INDEX(LOGEST(I107:J107,I52:J52),2)*EXP((INDEX(LOGEST(I107:J107,I52:J52),1)-1)*I91))</f>
        <v>17872.785132589161</v>
      </c>
      <c r="J134" s="79">
        <f>J107</f>
        <v>18795.767162553388</v>
      </c>
      <c r="K134" s="79"/>
      <c r="L134" s="218"/>
      <c r="M134" s="218"/>
      <c r="N134" s="218"/>
      <c r="O134" s="218"/>
      <c r="P134" s="218"/>
    </row>
    <row r="135" spans="1:16" s="92" customFormat="1" ht="12.5">
      <c r="A135" s="218"/>
      <c r="B135" s="218"/>
      <c r="C135" s="31">
        <f t="shared" si="25"/>
        <v>2017</v>
      </c>
      <c r="D135" s="79"/>
      <c r="E135" s="79"/>
      <c r="F135" s="419">
        <v>9937.4490484324651</v>
      </c>
      <c r="G135" s="423">
        <f>+IF(G92&lt;G53,INDEX(LOGEST(F108:G108,F53:G53),2)*EXP((INDEX(LOGEST(F108:G108,F53:G53),1)-1)*G92),INDEX(LOGEST(G108:H108,G53:H53),2)*EXP((INDEX(LOGEST(G108:H108,G53:H53),1)-1)*G92))</f>
        <v>13541.723811873528</v>
      </c>
      <c r="H135" s="423">
        <f>+IF(H92&lt;H53,INDEX(LOGEST(G108:H108,G53:H53),2)*EXP((INDEX(LOGEST(G108:H108,G53:H53),1)-1)*H92),INDEX(LOGEST(H108:I108,H53:I53),2)*EXP((INDEX(LOGEST(H108:I108,H53:I53),1)-1)*H92))</f>
        <v>16245.931488252674</v>
      </c>
      <c r="I135" s="79">
        <f>I108</f>
        <v>17949.303784503507</v>
      </c>
      <c r="J135" s="79"/>
      <c r="K135" s="79"/>
      <c r="L135" s="218"/>
      <c r="M135" s="218"/>
      <c r="N135" s="218"/>
      <c r="O135" s="218"/>
      <c r="P135" s="218"/>
    </row>
    <row r="136" spans="1:16" s="92" customFormat="1" ht="12.5">
      <c r="A136" s="218"/>
      <c r="B136" s="218"/>
      <c r="C136" s="31">
        <f t="shared" si="25"/>
        <v>2018</v>
      </c>
      <c r="D136" s="79"/>
      <c r="E136" s="419">
        <v>6902.9563862596378</v>
      </c>
      <c r="F136" s="423">
        <f>+IF(F93&lt;F54,INDEX(LOGEST(E109:F109,E54:F54),2)*EXP((INDEX(LOGEST(E109:F109,E54:F54),1)-1)*F93),INDEX(LOGEST(F109:G109,F54:G54),2)*EXP((INDEX(LOGEST(F109:G109,F54:G54),1)-1)*F93))</f>
        <v>10595.461277232727</v>
      </c>
      <c r="G136" s="423">
        <f>+IF(G93&lt;G54,INDEX(LOGEST(F109:G109,F54:G54),2)*EXP((INDEX(LOGEST(F109:G109,F54:G54),1)-1)*G93),INDEX(LOGEST(G109:H109,G54:H54),2)*EXP((INDEX(LOGEST(G109:H109,G54:H54),1)-1)*G93))</f>
        <v>14238.564610630863</v>
      </c>
      <c r="H136" s="79">
        <f>H109</f>
        <v>16912.63625349908</v>
      </c>
      <c r="I136" s="79"/>
      <c r="J136" s="79"/>
      <c r="K136" s="79"/>
      <c r="L136" s="218"/>
      <c r="M136" s="218"/>
      <c r="N136" s="218"/>
      <c r="O136" s="218"/>
      <c r="P136" s="218"/>
    </row>
    <row r="137" spans="1:16" s="92" customFormat="1" ht="12.5">
      <c r="A137" s="218"/>
      <c r="B137" s="218"/>
      <c r="C137" s="31">
        <f t="shared" si="25"/>
        <v>2019</v>
      </c>
      <c r="D137" s="79">
        <f t="shared" ref="D137:D139" si="26">INDEX(LOGEST(D110:E110,D55:E55),2)*EXP((INDEX(LOGEST(D110:E110,D55:E55),1)-1)*D94)</f>
        <v>3232.7806868388811</v>
      </c>
      <c r="E137" s="423">
        <f>+IF(E94&lt;E55,INDEX(LOGEST(D110:E110,D55:E55),2)*EXP((INDEX(LOGEST(D110:E110,D55:E55),1)-1)*E94),INDEX(LOGEST(E110:F110,E55:F55),2)*EXP((INDEX(LOGEST(E110:F110,E55:F55),1)-1)*E94))</f>
        <v>7439.4418812222893</v>
      </c>
      <c r="F137" s="423">
        <f>+IF(F94&lt;F55,INDEX(LOGEST(E110:F110,E55:F55),2)*EXP((INDEX(LOGEST(E110:F110,E55:F55),1)-1)*F94),INDEX(LOGEST(F110:G110,F55:G55),2)*EXP((INDEX(LOGEST(F110:G110,F55:G55),1)-1)*F94))</f>
        <v>11409.585162521549</v>
      </c>
      <c r="G137" s="79">
        <f>G110</f>
        <v>15520.780095867047</v>
      </c>
      <c r="H137" s="79"/>
      <c r="I137" s="79"/>
      <c r="J137" s="79"/>
      <c r="K137" s="79"/>
      <c r="L137" s="218"/>
      <c r="M137" s="218"/>
      <c r="N137" s="218"/>
      <c r="O137" s="218"/>
      <c r="P137" s="218"/>
    </row>
    <row r="138" spans="1:16" s="92" customFormat="1" ht="12.5">
      <c r="A138" s="218"/>
      <c r="B138" s="218"/>
      <c r="C138" s="31">
        <f t="shared" si="25"/>
        <v>2020</v>
      </c>
      <c r="D138" s="79">
        <f t="shared" si="26"/>
        <v>3464.8345576487618</v>
      </c>
      <c r="E138" s="423">
        <f>+IF(E95&lt;E56,INDEX(LOGEST(D111:E111,D56:E56),2)*EXP((INDEX(LOGEST(D111:E111,D56:E56),1)-1)*E95),INDEX(LOGEST(E111:F111,E56:F56),2)*EXP((INDEX(LOGEST(E111:F111,E56:F56),1)-1)*E95))</f>
        <v>8241.4859944232085</v>
      </c>
      <c r="F138" s="79">
        <f>F111</f>
        <v>12663.699531126487</v>
      </c>
      <c r="G138" s="79"/>
      <c r="H138" s="79"/>
      <c r="I138" s="79"/>
      <c r="J138" s="79"/>
      <c r="K138" s="79"/>
      <c r="L138" s="218"/>
      <c r="M138" s="218"/>
      <c r="N138" s="218"/>
      <c r="O138" s="218"/>
      <c r="P138" s="218"/>
    </row>
    <row r="139" spans="1:16" s="92" customFormat="1" ht="12.5">
      <c r="A139" s="218"/>
      <c r="B139" s="218"/>
      <c r="C139" s="31">
        <f t="shared" si="25"/>
        <v>2021</v>
      </c>
      <c r="D139" s="79">
        <f t="shared" si="26"/>
        <v>3208.9539905703591</v>
      </c>
      <c r="E139" s="79">
        <f>E112</f>
        <v>7451.8344515680137</v>
      </c>
      <c r="F139" s="79"/>
      <c r="G139" s="79"/>
      <c r="H139" s="79"/>
      <c r="I139" s="79"/>
      <c r="J139" s="79"/>
      <c r="K139" s="79"/>
      <c r="L139" s="218"/>
      <c r="M139" s="218"/>
      <c r="N139" s="218"/>
      <c r="O139" s="218"/>
      <c r="P139" s="218"/>
    </row>
    <row r="140" spans="1:16" s="92" customFormat="1" ht="12.5">
      <c r="A140" s="218"/>
      <c r="B140" s="218"/>
      <c r="C140" s="31">
        <f t="shared" si="25"/>
        <v>2022</v>
      </c>
      <c r="D140" s="79">
        <f>D113</f>
        <v>3458.2498868266184</v>
      </c>
      <c r="E140" s="218"/>
      <c r="F140" s="79"/>
      <c r="G140" s="79"/>
      <c r="H140" s="79"/>
      <c r="I140" s="79"/>
      <c r="J140" s="79"/>
      <c r="K140" s="79"/>
      <c r="L140" s="218"/>
      <c r="M140" s="218"/>
      <c r="N140" s="218"/>
      <c r="O140" s="218"/>
      <c r="P140" s="218"/>
    </row>
    <row r="141" spans="1:16" s="92" customFormat="1" ht="12.5">
      <c r="A141" s="218"/>
      <c r="B141" s="218"/>
      <c r="C141" s="218"/>
      <c r="D141" s="79"/>
      <c r="E141" s="79"/>
      <c r="F141" s="79"/>
      <c r="G141" s="79"/>
      <c r="H141" s="79"/>
      <c r="I141" s="79"/>
      <c r="J141" s="79"/>
      <c r="K141" s="79"/>
      <c r="L141" s="218"/>
      <c r="M141" s="218"/>
      <c r="N141" s="218"/>
      <c r="O141" s="218"/>
      <c r="P141" s="218"/>
    </row>
    <row r="142" spans="1:16" s="92" customFormat="1" ht="12.5">
      <c r="A142" s="118"/>
      <c r="B142" s="118" t="s">
        <v>292</v>
      </c>
      <c r="C142" s="118"/>
      <c r="D142" s="118"/>
      <c r="E142" s="118"/>
      <c r="F142" s="118"/>
      <c r="G142" s="118"/>
      <c r="H142" s="118"/>
      <c r="I142" s="118"/>
      <c r="J142" s="118"/>
      <c r="K142" s="117"/>
      <c r="L142" s="218"/>
      <c r="M142" s="218"/>
      <c r="N142" s="218"/>
      <c r="O142" s="218"/>
      <c r="P142" s="218"/>
    </row>
    <row r="143" spans="1:16" s="92" customFormat="1" ht="12.5">
      <c r="A143" s="218"/>
      <c r="B143" s="218"/>
      <c r="C143" s="218"/>
      <c r="D143" s="218"/>
      <c r="E143" s="218"/>
      <c r="F143" s="218"/>
      <c r="G143" s="218"/>
      <c r="H143" s="218"/>
      <c r="I143" s="218"/>
      <c r="J143" s="218"/>
      <c r="K143" s="218"/>
      <c r="L143" s="218"/>
      <c r="M143" s="218"/>
      <c r="N143" s="218"/>
      <c r="O143" s="218"/>
      <c r="P143" s="218"/>
    </row>
    <row r="144" spans="1:16" s="92" customFormat="1" ht="12.5">
      <c r="A144" s="218"/>
      <c r="B144" s="218"/>
      <c r="C144" s="31" t="s">
        <v>192</v>
      </c>
      <c r="D144" s="509" t="s">
        <v>287</v>
      </c>
      <c r="E144" s="509"/>
      <c r="F144" s="509"/>
      <c r="G144" s="509"/>
      <c r="H144" s="509"/>
      <c r="I144" s="509"/>
      <c r="J144" s="509"/>
      <c r="K144" s="250"/>
      <c r="L144" s="218"/>
      <c r="M144" s="218"/>
      <c r="N144" s="218"/>
      <c r="O144" s="218"/>
      <c r="P144" s="218"/>
    </row>
    <row r="145" spans="1:16" s="92" customFormat="1" ht="12.5">
      <c r="A145" s="218"/>
      <c r="B145" s="218"/>
      <c r="C145" s="33" t="s">
        <v>8</v>
      </c>
      <c r="D145" s="70">
        <f t="shared" ref="D145:J145" si="27">+D129</f>
        <v>12</v>
      </c>
      <c r="E145" s="70">
        <f t="shared" si="27"/>
        <v>24</v>
      </c>
      <c r="F145" s="70">
        <f t="shared" si="27"/>
        <v>36</v>
      </c>
      <c r="G145" s="70">
        <f t="shared" si="27"/>
        <v>48</v>
      </c>
      <c r="H145" s="70">
        <f t="shared" si="27"/>
        <v>60</v>
      </c>
      <c r="I145" s="70">
        <f t="shared" si="27"/>
        <v>72</v>
      </c>
      <c r="J145" s="70">
        <f t="shared" si="27"/>
        <v>84</v>
      </c>
      <c r="K145" s="70"/>
      <c r="L145" s="218"/>
      <c r="M145" s="218"/>
      <c r="N145" s="218"/>
      <c r="O145" s="218"/>
      <c r="P145" s="218"/>
    </row>
    <row r="146" spans="1:16" s="92" customFormat="1" ht="4.5" customHeight="1">
      <c r="A146" s="218"/>
      <c r="B146" s="218"/>
      <c r="C146" s="218"/>
      <c r="D146" s="218"/>
      <c r="E146" s="218"/>
      <c r="F146" s="218"/>
      <c r="G146" s="218"/>
      <c r="H146" s="218"/>
      <c r="I146" s="218"/>
      <c r="J146" s="218"/>
      <c r="K146" s="218"/>
      <c r="L146" s="218"/>
      <c r="M146" s="218"/>
      <c r="N146" s="218"/>
      <c r="O146" s="218"/>
      <c r="P146" s="218"/>
    </row>
    <row r="147" spans="1:16" s="92" customFormat="1" ht="12.5">
      <c r="A147" s="218"/>
      <c r="B147" s="218"/>
      <c r="C147" s="31">
        <f>+C131</f>
        <v>2013</v>
      </c>
      <c r="D147" s="79"/>
      <c r="E147" s="79"/>
      <c r="F147" s="79"/>
      <c r="G147" s="79"/>
      <c r="H147" s="79"/>
      <c r="I147" s="79"/>
      <c r="J147" s="424">
        <f t="shared" ref="J147" si="28">J131*J88/1000</f>
        <v>2354821.4226748026</v>
      </c>
      <c r="K147" s="79"/>
      <c r="L147" s="218"/>
      <c r="M147" s="218"/>
      <c r="N147" s="218"/>
      <c r="O147" s="218"/>
      <c r="P147" s="218"/>
    </row>
    <row r="148" spans="1:16" s="92" customFormat="1" ht="12.5">
      <c r="A148" s="218"/>
      <c r="B148" s="218"/>
      <c r="C148" s="31">
        <f t="shared" ref="C148:C156" si="29">+C132</f>
        <v>2014</v>
      </c>
      <c r="D148" s="79"/>
      <c r="E148" s="79"/>
      <c r="F148" s="79"/>
      <c r="G148" s="79"/>
      <c r="H148" s="79"/>
      <c r="I148" s="424">
        <f t="shared" ref="I148:J148" si="30">I132*I89/1000</f>
        <v>2357626.2890863912</v>
      </c>
      <c r="J148" s="424">
        <f t="shared" si="30"/>
        <v>2537671.400657</v>
      </c>
      <c r="K148" s="79"/>
      <c r="L148" s="218"/>
      <c r="M148" s="218"/>
      <c r="N148" s="218"/>
      <c r="O148" s="218"/>
      <c r="P148" s="218"/>
    </row>
    <row r="149" spans="1:16" s="92" customFormat="1" ht="12.5">
      <c r="A149" s="218"/>
      <c r="B149" s="218"/>
      <c r="C149" s="31">
        <f t="shared" si="29"/>
        <v>2015</v>
      </c>
      <c r="D149" s="79"/>
      <c r="E149" s="79"/>
      <c r="F149" s="79"/>
      <c r="G149" s="79"/>
      <c r="H149" s="424">
        <f t="shared" ref="H149:J149" si="31">H133*H90/1000</f>
        <v>2152135.7087391978</v>
      </c>
      <c r="I149" s="424">
        <f t="shared" si="31"/>
        <v>2459417.166061061</v>
      </c>
      <c r="J149" s="424">
        <f t="shared" si="31"/>
        <v>2647515.2410588455</v>
      </c>
      <c r="K149" s="79"/>
      <c r="L149" s="218"/>
      <c r="M149" s="218"/>
      <c r="N149" s="218"/>
      <c r="O149" s="218"/>
      <c r="P149" s="218"/>
    </row>
    <row r="150" spans="1:16" s="92" customFormat="1" ht="12.5">
      <c r="A150" s="218"/>
      <c r="B150" s="218"/>
      <c r="C150" s="31">
        <f t="shared" si="29"/>
        <v>2016</v>
      </c>
      <c r="D150" s="79"/>
      <c r="E150" s="79"/>
      <c r="F150" s="79"/>
      <c r="G150" s="424">
        <f t="shared" ref="G150:I150" si="32">G134*G91/1000</f>
        <v>1635696.7136796787</v>
      </c>
      <c r="H150" s="424">
        <f t="shared" si="32"/>
        <v>2116165.5408785157</v>
      </c>
      <c r="I150" s="424">
        <f t="shared" si="32"/>
        <v>2432955.7940479489</v>
      </c>
      <c r="J150" s="424">
        <f>J134*J91/1000</f>
        <v>2622911.716</v>
      </c>
      <c r="K150" s="79"/>
      <c r="L150" s="218"/>
      <c r="M150" s="218"/>
      <c r="N150" s="218"/>
      <c r="O150" s="218"/>
      <c r="P150" s="218"/>
    </row>
    <row r="151" spans="1:16" s="92" customFormat="1" ht="12.5">
      <c r="A151" s="218"/>
      <c r="B151" s="218"/>
      <c r="C151" s="31">
        <f t="shared" si="29"/>
        <v>2017</v>
      </c>
      <c r="D151" s="79"/>
      <c r="E151" s="79"/>
      <c r="F151" s="424">
        <f t="shared" ref="F151:H151" si="33">F135*F92/1000</f>
        <v>1010668.3812440604</v>
      </c>
      <c r="G151" s="424">
        <f t="shared" si="33"/>
        <v>1612483.4958920423</v>
      </c>
      <c r="H151" s="424">
        <f t="shared" si="33"/>
        <v>2119490.5359252696</v>
      </c>
      <c r="I151" s="424">
        <f>I135*I92/1000</f>
        <v>2453472.3849999998</v>
      </c>
      <c r="J151" s="79"/>
      <c r="K151" s="79"/>
      <c r="L151" s="218"/>
      <c r="M151" s="218"/>
      <c r="N151" s="218"/>
      <c r="O151" s="218"/>
      <c r="P151" s="218"/>
    </row>
    <row r="152" spans="1:16" s="92" customFormat="1" ht="12.5">
      <c r="A152" s="218"/>
      <c r="B152" s="218"/>
      <c r="C152" s="31">
        <f t="shared" si="29"/>
        <v>2018</v>
      </c>
      <c r="D152" s="79"/>
      <c r="E152" s="424">
        <f t="shared" ref="D152:E155" si="34">E136*E93/1000</f>
        <v>564005.54418466275</v>
      </c>
      <c r="F152" s="424">
        <f t="shared" ref="F152:G152" si="35">F136*F93/1000</f>
        <v>1097654.3578660877</v>
      </c>
      <c r="G152" s="424">
        <f t="shared" si="35"/>
        <v>1727028.5211723109</v>
      </c>
      <c r="H152" s="424">
        <f>H136*H93/1000</f>
        <v>2247554.057</v>
      </c>
      <c r="I152" s="79"/>
      <c r="J152" s="79"/>
      <c r="K152" s="79"/>
      <c r="L152" s="218"/>
      <c r="M152" s="218"/>
      <c r="N152" s="218"/>
      <c r="O152" s="218"/>
      <c r="P152" s="218"/>
    </row>
    <row r="153" spans="1:16" s="92" customFormat="1" ht="12.5">
      <c r="A153" s="218"/>
      <c r="B153" s="218"/>
      <c r="C153" s="31">
        <f t="shared" si="29"/>
        <v>2019</v>
      </c>
      <c r="D153" s="424">
        <f t="shared" si="34"/>
        <v>126525.54785183554</v>
      </c>
      <c r="E153" s="424">
        <f t="shared" si="34"/>
        <v>619969.9474876055</v>
      </c>
      <c r="F153" s="424">
        <f t="shared" ref="F153" si="36">F137*F94/1000</f>
        <v>1205584.4305091144</v>
      </c>
      <c r="G153" s="424">
        <f>G137*G94/1000</f>
        <v>1920122.2679999999</v>
      </c>
      <c r="H153" s="79"/>
      <c r="I153" s="79"/>
      <c r="J153" s="79"/>
      <c r="K153" s="79"/>
      <c r="L153" s="218"/>
      <c r="M153" s="218"/>
      <c r="N153" s="218"/>
      <c r="O153" s="218"/>
      <c r="P153" s="218"/>
    </row>
    <row r="154" spans="1:16" s="92" customFormat="1" ht="12.5">
      <c r="A154" s="218"/>
      <c r="B154" s="218"/>
      <c r="C154" s="31">
        <f t="shared" si="29"/>
        <v>2020</v>
      </c>
      <c r="D154" s="424">
        <f t="shared" si="34"/>
        <v>118519.25328830082</v>
      </c>
      <c r="E154" s="424">
        <f t="shared" si="34"/>
        <v>600261.13944860245</v>
      </c>
      <c r="F154" s="424">
        <f>F138*F95/1000</f>
        <v>1169479.9879999999</v>
      </c>
      <c r="G154" s="79"/>
      <c r="H154" s="79"/>
      <c r="I154" s="79"/>
      <c r="J154" s="79"/>
      <c r="K154" s="79"/>
      <c r="L154" s="218"/>
      <c r="M154" s="218"/>
      <c r="N154" s="218"/>
      <c r="O154" s="218"/>
      <c r="P154" s="218"/>
    </row>
    <row r="155" spans="1:16" s="92" customFormat="1" ht="12.5">
      <c r="A155" s="218"/>
      <c r="B155" s="218"/>
      <c r="C155" s="31">
        <f t="shared" si="29"/>
        <v>2021</v>
      </c>
      <c r="D155" s="424">
        <f t="shared" si="34"/>
        <v>121295.51523349794</v>
      </c>
      <c r="E155" s="424">
        <f>E139*E96/1000</f>
        <v>599753.44400000002</v>
      </c>
      <c r="F155" s="79"/>
      <c r="G155" s="79"/>
      <c r="H155" s="79"/>
      <c r="I155" s="79"/>
      <c r="J155" s="79"/>
      <c r="K155" s="79"/>
      <c r="L155" s="218"/>
      <c r="M155" s="218"/>
      <c r="N155" s="218"/>
      <c r="O155" s="218"/>
      <c r="P155" s="218"/>
    </row>
    <row r="156" spans="1:16" s="92" customFormat="1" ht="12.5">
      <c r="A156" s="218"/>
      <c r="B156" s="218"/>
      <c r="C156" s="31">
        <f t="shared" si="29"/>
        <v>2022</v>
      </c>
      <c r="D156" s="424">
        <f>D140*D97/1000</f>
        <v>137506.93199999997</v>
      </c>
      <c r="E156" s="218"/>
      <c r="F156" s="79"/>
      <c r="G156" s="79"/>
      <c r="H156" s="79"/>
      <c r="I156" s="79"/>
      <c r="J156" s="79"/>
      <c r="K156" s="79"/>
      <c r="L156" s="218"/>
      <c r="M156" s="218"/>
      <c r="N156" s="218"/>
      <c r="O156" s="218"/>
      <c r="P156" s="218"/>
    </row>
    <row r="157" spans="1:16" s="92" customFormat="1" ht="12.5">
      <c r="A157" s="218"/>
      <c r="B157" s="218"/>
      <c r="C157" s="218"/>
      <c r="D157" s="218"/>
      <c r="E157" s="79"/>
      <c r="F157" s="79"/>
      <c r="G157" s="79"/>
      <c r="H157" s="79"/>
      <c r="I157" s="79"/>
      <c r="J157" s="79"/>
      <c r="K157" s="79"/>
      <c r="L157" s="218"/>
      <c r="M157" s="218"/>
      <c r="N157" s="218"/>
      <c r="O157" s="218"/>
      <c r="P157" s="218"/>
    </row>
    <row r="158" spans="1:16" s="92" customFormat="1" ht="12.5">
      <c r="A158" s="118"/>
      <c r="B158" s="118" t="s">
        <v>251</v>
      </c>
      <c r="C158" s="118"/>
      <c r="D158" s="118"/>
      <c r="E158" s="118"/>
      <c r="F158" s="118"/>
      <c r="G158" s="118"/>
      <c r="H158" s="118"/>
      <c r="I158" s="118"/>
      <c r="J158" s="118"/>
      <c r="K158" s="117"/>
      <c r="L158" s="218"/>
      <c r="M158" s="218"/>
      <c r="N158" s="218"/>
      <c r="O158" s="218"/>
      <c r="P158" s="218"/>
    </row>
    <row r="159" spans="1:16" s="92" customFormat="1" ht="12.5">
      <c r="A159" s="218"/>
      <c r="B159" s="218"/>
      <c r="C159" s="218"/>
      <c r="D159" s="218"/>
      <c r="E159" s="218"/>
      <c r="F159" s="218"/>
      <c r="G159" s="218"/>
      <c r="H159" s="218"/>
      <c r="I159" s="218"/>
      <c r="J159" s="218"/>
      <c r="K159" s="218"/>
      <c r="L159" s="218"/>
      <c r="M159" s="218"/>
      <c r="N159" s="218"/>
      <c r="O159" s="218"/>
      <c r="P159" s="218"/>
    </row>
    <row r="160" spans="1:16" s="92" customFormat="1" ht="12.5">
      <c r="A160" s="218"/>
      <c r="B160" s="218"/>
      <c r="C160" s="31" t="s">
        <v>192</v>
      </c>
      <c r="D160" s="509" t="s">
        <v>287</v>
      </c>
      <c r="E160" s="509"/>
      <c r="F160" s="509"/>
      <c r="G160" s="509"/>
      <c r="H160" s="509"/>
      <c r="I160" s="509"/>
      <c r="J160" s="509"/>
      <c r="K160" s="250"/>
      <c r="L160" s="218"/>
      <c r="M160" s="218"/>
      <c r="N160" s="218"/>
      <c r="O160" s="218"/>
      <c r="P160" s="218"/>
    </row>
    <row r="161" spans="1:16" s="92" customFormat="1" ht="12.5">
      <c r="A161" s="218"/>
      <c r="B161" s="218"/>
      <c r="C161" s="33" t="s">
        <v>8</v>
      </c>
      <c r="D161" s="70">
        <f t="shared" ref="D161:J161" si="37">+D129</f>
        <v>12</v>
      </c>
      <c r="E161" s="70">
        <f t="shared" si="37"/>
        <v>24</v>
      </c>
      <c r="F161" s="70">
        <f t="shared" si="37"/>
        <v>36</v>
      </c>
      <c r="G161" s="70">
        <f t="shared" si="37"/>
        <v>48</v>
      </c>
      <c r="H161" s="70">
        <f t="shared" si="37"/>
        <v>60</v>
      </c>
      <c r="I161" s="70">
        <f t="shared" si="37"/>
        <v>72</v>
      </c>
      <c r="J161" s="70">
        <f t="shared" si="37"/>
        <v>84</v>
      </c>
      <c r="K161" s="70"/>
      <c r="L161" s="218"/>
      <c r="M161" s="218"/>
      <c r="N161" s="218"/>
      <c r="O161" s="218"/>
      <c r="P161" s="218"/>
    </row>
    <row r="162" spans="1:16" s="92" customFormat="1" ht="4.5" customHeight="1">
      <c r="A162" s="218"/>
      <c r="B162" s="218"/>
      <c r="C162" s="218"/>
      <c r="D162" s="218"/>
      <c r="E162" s="218"/>
      <c r="F162" s="218"/>
      <c r="G162" s="218"/>
      <c r="H162" s="218"/>
      <c r="I162" s="218"/>
      <c r="J162" s="218"/>
      <c r="K162" s="218"/>
      <c r="L162" s="218"/>
      <c r="M162" s="218"/>
      <c r="N162" s="218"/>
      <c r="O162" s="218"/>
      <c r="P162" s="218"/>
    </row>
    <row r="163" spans="1:16" s="92" customFormat="1" ht="12.5">
      <c r="A163" s="218"/>
      <c r="B163" s="218"/>
      <c r="C163" s="31">
        <f>+C131</f>
        <v>2013</v>
      </c>
      <c r="D163" s="422"/>
      <c r="E163" s="422"/>
      <c r="F163" s="422"/>
      <c r="G163" s="422"/>
      <c r="H163" s="422"/>
      <c r="I163" s="422"/>
      <c r="J163" s="422">
        <v>382803.77740739821</v>
      </c>
      <c r="K163" s="79"/>
      <c r="L163" s="218"/>
      <c r="M163" s="218"/>
      <c r="N163" s="218"/>
      <c r="O163" s="218"/>
      <c r="P163" s="218"/>
    </row>
    <row r="164" spans="1:16" s="92" customFormat="1" ht="12.5">
      <c r="A164" s="218"/>
      <c r="B164" s="218"/>
      <c r="C164" s="31">
        <f t="shared" ref="C164:C172" si="38">+C132</f>
        <v>2014</v>
      </c>
      <c r="D164" s="422"/>
      <c r="E164" s="422"/>
      <c r="F164" s="422"/>
      <c r="G164" s="422"/>
      <c r="H164" s="422"/>
      <c r="I164" s="422">
        <v>495537.14281244611</v>
      </c>
      <c r="J164" s="422">
        <v>392462.59</v>
      </c>
      <c r="K164" s="79"/>
      <c r="L164" s="218"/>
      <c r="M164" s="218"/>
      <c r="N164" s="218"/>
      <c r="O164" s="218"/>
      <c r="P164" s="218"/>
    </row>
    <row r="165" spans="1:16" s="92" customFormat="1" ht="12.5">
      <c r="A165" s="218"/>
      <c r="B165" s="218"/>
      <c r="C165" s="31">
        <f t="shared" si="38"/>
        <v>2015</v>
      </c>
      <c r="D165" s="422"/>
      <c r="E165" s="422"/>
      <c r="F165" s="422"/>
      <c r="G165" s="422"/>
      <c r="H165" s="422">
        <v>593255.40748746064</v>
      </c>
      <c r="I165" s="422">
        <v>476466.76099999953</v>
      </c>
      <c r="J165" s="422">
        <v>395793.58899999951</v>
      </c>
      <c r="K165" s="79"/>
      <c r="L165" s="218"/>
      <c r="M165" s="218"/>
      <c r="N165" s="218"/>
      <c r="O165" s="218"/>
      <c r="P165" s="218"/>
    </row>
    <row r="166" spans="1:16" s="92" customFormat="1" ht="12.5">
      <c r="A166" s="218"/>
      <c r="B166" s="218"/>
      <c r="C166" s="31">
        <f t="shared" si="38"/>
        <v>2016</v>
      </c>
      <c r="D166" s="422"/>
      <c r="E166" s="422"/>
      <c r="F166" s="422"/>
      <c r="G166" s="422">
        <v>711787.11600000004</v>
      </c>
      <c r="H166" s="422">
        <v>579678.12800000003</v>
      </c>
      <c r="I166" s="422">
        <v>471116.55499999999</v>
      </c>
      <c r="J166" s="422">
        <v>394699.42499999999</v>
      </c>
      <c r="K166" s="79"/>
      <c r="L166" s="218"/>
      <c r="M166" s="218"/>
      <c r="N166" s="218"/>
      <c r="O166" s="218"/>
      <c r="P166" s="218"/>
    </row>
    <row r="167" spans="1:16" s="92" customFormat="1" ht="12.5">
      <c r="A167" s="218"/>
      <c r="B167" s="218"/>
      <c r="C167" s="31">
        <f t="shared" si="38"/>
        <v>2017</v>
      </c>
      <c r="D167" s="422"/>
      <c r="E167" s="422"/>
      <c r="F167" s="422">
        <v>850312.26799999981</v>
      </c>
      <c r="G167" s="422">
        <v>723131.51899999997</v>
      </c>
      <c r="H167" s="422">
        <v>589491.94299999997</v>
      </c>
      <c r="I167" s="422">
        <v>476343.78600000002</v>
      </c>
      <c r="J167" s="422"/>
      <c r="K167" s="79"/>
      <c r="L167" s="218"/>
      <c r="M167" s="218"/>
      <c r="N167" s="218"/>
      <c r="O167" s="218"/>
      <c r="P167" s="218"/>
    </row>
    <row r="168" spans="1:16" s="92" customFormat="1" ht="12.5">
      <c r="A168" s="218"/>
      <c r="B168" s="218"/>
      <c r="C168" s="31">
        <f t="shared" si="38"/>
        <v>2018</v>
      </c>
      <c r="D168" s="422"/>
      <c r="E168" s="422">
        <v>807939.16899999999</v>
      </c>
      <c r="F168" s="422">
        <v>899195.85900000029</v>
      </c>
      <c r="G168" s="422">
        <v>792141.61499999999</v>
      </c>
      <c r="H168" s="422">
        <v>636387.89599999995</v>
      </c>
      <c r="I168" s="422"/>
      <c r="J168" s="422"/>
      <c r="K168" s="79"/>
      <c r="L168" s="218"/>
      <c r="M168" s="218"/>
      <c r="N168" s="218"/>
      <c r="O168" s="218"/>
      <c r="P168" s="218"/>
    </row>
    <row r="169" spans="1:16" s="92" customFormat="1" ht="12.5">
      <c r="A169" s="218"/>
      <c r="B169" s="218"/>
      <c r="C169" s="31">
        <f t="shared" si="38"/>
        <v>2019</v>
      </c>
      <c r="D169" s="422">
        <v>354817.56400000001</v>
      </c>
      <c r="E169" s="422">
        <v>884933.32200000004</v>
      </c>
      <c r="F169" s="422">
        <v>1040630.5060000001</v>
      </c>
      <c r="G169" s="422">
        <v>872542.12399999995</v>
      </c>
      <c r="H169" s="422"/>
      <c r="I169" s="422"/>
      <c r="J169" s="422"/>
      <c r="K169" s="79"/>
      <c r="L169" s="218"/>
      <c r="M169" s="218"/>
      <c r="N169" s="218"/>
      <c r="O169" s="218"/>
      <c r="P169" s="218"/>
    </row>
    <row r="170" spans="1:16" s="92" customFormat="1" ht="12.5">
      <c r="A170" s="218"/>
      <c r="B170" s="218"/>
      <c r="C170" s="31">
        <f t="shared" si="38"/>
        <v>2020</v>
      </c>
      <c r="D170" s="422">
        <v>349372.82577</v>
      </c>
      <c r="E170" s="422">
        <v>812869.929</v>
      </c>
      <c r="F170" s="422">
        <v>908449.33299999998</v>
      </c>
      <c r="G170" s="422"/>
      <c r="H170" s="422"/>
      <c r="I170" s="422"/>
      <c r="J170" s="422"/>
      <c r="K170" s="79"/>
      <c r="L170" s="218"/>
      <c r="M170" s="218"/>
      <c r="N170" s="218"/>
      <c r="O170" s="218"/>
      <c r="P170" s="218"/>
    </row>
    <row r="171" spans="1:16" s="92" customFormat="1" ht="12.5">
      <c r="A171" s="218"/>
      <c r="B171" s="218"/>
      <c r="C171" s="31">
        <f t="shared" si="38"/>
        <v>2021</v>
      </c>
      <c r="D171" s="422">
        <v>397203.80200000003</v>
      </c>
      <c r="E171" s="422">
        <v>917964.73899999994</v>
      </c>
      <c r="F171" s="422"/>
      <c r="G171" s="422"/>
      <c r="H171" s="422"/>
      <c r="I171" s="422"/>
      <c r="J171" s="422"/>
      <c r="K171" s="79"/>
      <c r="L171" s="218"/>
      <c r="M171" s="218"/>
      <c r="N171" s="218"/>
      <c r="O171" s="218"/>
      <c r="P171" s="218"/>
    </row>
    <row r="172" spans="1:16" s="92" customFormat="1" ht="12.5">
      <c r="A172" s="218"/>
      <c r="B172" s="218"/>
      <c r="C172" s="31">
        <f t="shared" si="38"/>
        <v>2022</v>
      </c>
      <c r="D172" s="422">
        <v>441027.43199999997</v>
      </c>
      <c r="E172" s="422"/>
      <c r="F172" s="422"/>
      <c r="G172" s="422"/>
      <c r="H172" s="422"/>
      <c r="I172" s="422"/>
      <c r="J172" s="422"/>
      <c r="K172" s="79"/>
      <c r="L172" s="218"/>
      <c r="M172" s="218"/>
      <c r="N172" s="218"/>
      <c r="O172" s="218"/>
      <c r="P172" s="218"/>
    </row>
    <row r="173" spans="1:16" s="92" customFormat="1" ht="12.5">
      <c r="A173" s="218"/>
      <c r="B173" s="218"/>
      <c r="C173" s="31"/>
      <c r="D173" s="79"/>
      <c r="E173" s="79"/>
      <c r="F173" s="79"/>
      <c r="G173" s="79"/>
      <c r="H173" s="79"/>
      <c r="I173" s="79"/>
      <c r="J173" s="79"/>
      <c r="K173" s="79"/>
      <c r="L173" s="218"/>
      <c r="M173" s="218"/>
      <c r="N173" s="218"/>
      <c r="O173" s="218"/>
      <c r="P173" s="218"/>
    </row>
    <row r="174" spans="1:16" s="176" customFormat="1" ht="12.5">
      <c r="A174" s="218"/>
      <c r="B174" s="218"/>
      <c r="C174" s="31"/>
      <c r="D174" s="79"/>
      <c r="E174" s="79"/>
      <c r="F174" s="79"/>
      <c r="G174" s="79"/>
      <c r="H174" s="79"/>
      <c r="I174" s="79"/>
      <c r="J174" s="79"/>
      <c r="K174" s="79"/>
      <c r="L174" s="218"/>
      <c r="M174" s="218"/>
      <c r="N174" s="218"/>
      <c r="O174" s="218"/>
      <c r="P174" s="218"/>
    </row>
    <row r="175" spans="1:16" s="92" customFormat="1" ht="26.25" customHeight="1">
      <c r="A175" s="46" t="s">
        <v>38</v>
      </c>
      <c r="B175" s="510" t="s">
        <v>252</v>
      </c>
      <c r="C175" s="510"/>
      <c r="D175" s="510"/>
      <c r="E175" s="510"/>
      <c r="F175" s="510"/>
      <c r="G175" s="510"/>
      <c r="H175" s="510"/>
      <c r="I175" s="510"/>
      <c r="J175" s="510"/>
      <c r="K175" s="510"/>
      <c r="L175" s="256"/>
      <c r="M175" s="218"/>
      <c r="N175" s="218"/>
      <c r="O175" s="218"/>
      <c r="P175" s="218"/>
    </row>
    <row r="176" spans="1:16" s="92" customFormat="1" ht="24.75" customHeight="1">
      <c r="A176" s="46" t="s">
        <v>57</v>
      </c>
      <c r="B176" s="510" t="s">
        <v>253</v>
      </c>
      <c r="C176" s="510"/>
      <c r="D176" s="510"/>
      <c r="E176" s="510"/>
      <c r="F176" s="510"/>
      <c r="G176" s="510"/>
      <c r="H176" s="510"/>
      <c r="I176" s="510"/>
      <c r="J176" s="510"/>
      <c r="K176" s="510"/>
      <c r="L176" s="218"/>
      <c r="M176" s="218"/>
      <c r="N176" s="218"/>
      <c r="O176" s="218"/>
      <c r="P176" s="218"/>
    </row>
    <row r="177" spans="1:16" s="92" customFormat="1" ht="12.5">
      <c r="A177" s="218"/>
      <c r="B177" s="513"/>
      <c r="C177" s="513"/>
      <c r="D177" s="513"/>
      <c r="E177" s="513"/>
      <c r="F177" s="513"/>
      <c r="G177" s="513"/>
      <c r="H177" s="513"/>
      <c r="I177" s="513"/>
      <c r="J177" s="513"/>
      <c r="K177" s="218"/>
      <c r="L177" s="218"/>
      <c r="M177" s="218"/>
      <c r="N177" s="218"/>
      <c r="O177" s="218"/>
      <c r="P177" s="218"/>
    </row>
    <row r="178" spans="1:16" s="92" customFormat="1" ht="12.5">
      <c r="A178" s="218"/>
      <c r="B178" s="108" t="s">
        <v>420</v>
      </c>
      <c r="C178" s="41"/>
      <c r="D178" s="41"/>
      <c r="E178" s="41"/>
      <c r="F178" s="41"/>
      <c r="G178" s="41"/>
      <c r="H178" s="41"/>
      <c r="I178" s="41"/>
      <c r="J178" s="41"/>
      <c r="K178" s="218"/>
      <c r="L178" s="218"/>
      <c r="M178" s="218"/>
      <c r="N178" s="218"/>
      <c r="O178" s="218"/>
      <c r="P178" s="218"/>
    </row>
    <row r="179" spans="1:16" s="93" customFormat="1" ht="45" customHeight="1">
      <c r="A179" s="257"/>
      <c r="B179" s="257"/>
      <c r="C179" s="257"/>
      <c r="D179" s="257"/>
      <c r="E179" s="257"/>
      <c r="F179" s="257"/>
      <c r="G179" s="257"/>
      <c r="H179" s="257"/>
      <c r="I179" s="257"/>
      <c r="J179" s="257"/>
      <c r="K179" s="257"/>
      <c r="L179" s="46" t="s">
        <v>353</v>
      </c>
      <c r="M179" s="258"/>
      <c r="N179" s="258"/>
      <c r="O179" s="258"/>
      <c r="P179" s="258"/>
    </row>
    <row r="180" spans="1:16" s="92" customFormat="1" ht="13">
      <c r="A180" s="122" t="s">
        <v>31</v>
      </c>
      <c r="B180" s="122"/>
      <c r="C180" s="122"/>
      <c r="D180" s="122"/>
      <c r="E180" s="122"/>
      <c r="F180" s="122"/>
      <c r="G180" s="122"/>
      <c r="H180" s="122"/>
      <c r="I180" s="122"/>
      <c r="J180" s="122"/>
      <c r="K180" s="122"/>
      <c r="L180" s="122"/>
      <c r="M180" s="248"/>
      <c r="N180" s="218"/>
      <c r="O180" s="218"/>
      <c r="P180" s="218"/>
    </row>
    <row r="181" spans="1:16" s="92" customFormat="1" ht="13">
      <c r="A181" s="122" t="s">
        <v>240</v>
      </c>
      <c r="B181" s="122"/>
      <c r="C181" s="122"/>
      <c r="D181" s="122"/>
      <c r="E181" s="122"/>
      <c r="F181" s="122"/>
      <c r="G181" s="122"/>
      <c r="H181" s="122"/>
      <c r="I181" s="122"/>
      <c r="J181" s="122"/>
      <c r="K181" s="122"/>
      <c r="L181" s="122"/>
      <c r="M181" s="248"/>
      <c r="N181" s="218"/>
      <c r="O181" s="218"/>
      <c r="P181" s="218"/>
    </row>
    <row r="182" spans="1:16" s="92" customFormat="1" ht="13">
      <c r="A182" s="122" t="s">
        <v>241</v>
      </c>
      <c r="B182" s="122"/>
      <c r="C182" s="122"/>
      <c r="D182" s="122"/>
      <c r="E182" s="122"/>
      <c r="F182" s="122"/>
      <c r="G182" s="122"/>
      <c r="H182" s="122"/>
      <c r="I182" s="122"/>
      <c r="J182" s="122"/>
      <c r="K182" s="122"/>
      <c r="L182" s="122"/>
      <c r="M182" s="248"/>
      <c r="N182" s="218"/>
      <c r="O182" s="218"/>
      <c r="P182" s="218"/>
    </row>
    <row r="183" spans="1:16" s="92" customFormat="1" ht="13">
      <c r="A183" s="248"/>
      <c r="B183" s="248"/>
      <c r="C183" s="248"/>
      <c r="D183" s="248"/>
      <c r="E183" s="248"/>
      <c r="F183" s="248"/>
      <c r="G183" s="248"/>
      <c r="H183" s="248"/>
      <c r="I183" s="248"/>
      <c r="J183" s="248"/>
      <c r="K183" s="248"/>
      <c r="L183" s="248"/>
      <c r="M183" s="248"/>
      <c r="N183" s="218"/>
      <c r="O183" s="218"/>
      <c r="P183" s="218"/>
    </row>
    <row r="184" spans="1:16" s="92" customFormat="1" ht="12.5">
      <c r="A184" s="218"/>
      <c r="B184" s="218"/>
      <c r="C184" s="218"/>
      <c r="D184" s="218"/>
      <c r="E184" s="218"/>
      <c r="F184" s="218"/>
      <c r="G184" s="218"/>
      <c r="H184" s="218"/>
      <c r="I184" s="218"/>
      <c r="J184" s="218"/>
      <c r="K184" s="218"/>
      <c r="L184" s="218"/>
      <c r="M184" s="218"/>
      <c r="N184" s="218"/>
      <c r="O184" s="218"/>
      <c r="P184" s="218"/>
    </row>
    <row r="185" spans="1:16" s="92" customFormat="1" ht="12.5">
      <c r="A185" s="118"/>
      <c r="B185" s="118" t="s">
        <v>293</v>
      </c>
      <c r="C185" s="118"/>
      <c r="D185" s="118"/>
      <c r="E185" s="118"/>
      <c r="F185" s="118"/>
      <c r="G185" s="118"/>
      <c r="H185" s="118"/>
      <c r="I185" s="118"/>
      <c r="J185" s="118"/>
      <c r="K185" s="118"/>
      <c r="L185" s="118"/>
      <c r="M185" s="218"/>
      <c r="N185" s="218"/>
      <c r="O185" s="218"/>
      <c r="P185" s="218"/>
    </row>
    <row r="186" spans="1:16" s="92" customFormat="1" ht="12.5">
      <c r="A186" s="218"/>
      <c r="B186" s="218"/>
      <c r="C186" s="218"/>
      <c r="D186" s="218"/>
      <c r="E186" s="218"/>
      <c r="F186" s="218"/>
      <c r="G186" s="218"/>
      <c r="H186" s="218"/>
      <c r="I186" s="218"/>
      <c r="J186" s="218"/>
      <c r="K186" s="218"/>
      <c r="L186" s="218"/>
      <c r="M186" s="218"/>
      <c r="N186" s="218"/>
      <c r="O186" s="218"/>
      <c r="P186" s="218"/>
    </row>
    <row r="187" spans="1:16" s="92" customFormat="1" ht="12.5">
      <c r="A187" s="218"/>
      <c r="B187" s="218"/>
      <c r="C187" s="31" t="s">
        <v>192</v>
      </c>
      <c r="D187" s="509" t="s">
        <v>287</v>
      </c>
      <c r="E187" s="509"/>
      <c r="F187" s="509"/>
      <c r="G187" s="509"/>
      <c r="H187" s="509"/>
      <c r="I187" s="509"/>
      <c r="J187" s="509"/>
      <c r="K187" s="250"/>
      <c r="L187" s="218"/>
      <c r="M187" s="218"/>
      <c r="N187" s="218"/>
      <c r="O187" s="218"/>
      <c r="P187" s="218"/>
    </row>
    <row r="188" spans="1:16" s="92" customFormat="1" ht="12.5">
      <c r="A188" s="218"/>
      <c r="B188" s="218"/>
      <c r="C188" s="33" t="s">
        <v>8</v>
      </c>
      <c r="D188" s="70">
        <f t="shared" ref="D188:J188" si="39">D161</f>
        <v>12</v>
      </c>
      <c r="E188" s="70">
        <f t="shared" si="39"/>
        <v>24</v>
      </c>
      <c r="F188" s="70">
        <f t="shared" si="39"/>
        <v>36</v>
      </c>
      <c r="G188" s="70">
        <f t="shared" si="39"/>
        <v>48</v>
      </c>
      <c r="H188" s="70">
        <f t="shared" si="39"/>
        <v>60</v>
      </c>
      <c r="I188" s="70">
        <f t="shared" si="39"/>
        <v>72</v>
      </c>
      <c r="J188" s="70">
        <f t="shared" si="39"/>
        <v>84</v>
      </c>
      <c r="K188" s="70"/>
      <c r="L188" s="218"/>
      <c r="M188" s="218"/>
      <c r="N188" s="218"/>
      <c r="O188" s="218"/>
      <c r="P188" s="218"/>
    </row>
    <row r="189" spans="1:16" s="92" customFormat="1" ht="4.5" customHeight="1">
      <c r="A189" s="218"/>
      <c r="B189" s="218"/>
      <c r="C189" s="218"/>
      <c r="D189" s="218"/>
      <c r="E189" s="218"/>
      <c r="F189" s="218"/>
      <c r="G189" s="218"/>
      <c r="H189" s="218"/>
      <c r="I189" s="218"/>
      <c r="J189" s="218"/>
      <c r="K189" s="218"/>
      <c r="L189" s="218"/>
      <c r="M189" s="218"/>
      <c r="N189" s="218"/>
      <c r="O189" s="218"/>
      <c r="P189" s="218"/>
    </row>
    <row r="190" spans="1:16" s="92" customFormat="1" ht="12.5">
      <c r="A190" s="218"/>
      <c r="B190" s="218"/>
      <c r="C190" s="31">
        <f t="shared" ref="C190:C199" si="40">C163</f>
        <v>2013</v>
      </c>
      <c r="D190" s="419"/>
      <c r="E190" s="419"/>
      <c r="F190" s="419"/>
      <c r="G190" s="419"/>
      <c r="H190" s="419"/>
      <c r="I190" s="419"/>
      <c r="J190" s="419">
        <v>41720.873087963046</v>
      </c>
      <c r="K190" s="125"/>
      <c r="L190" s="218"/>
      <c r="M190" s="218"/>
      <c r="N190" s="218"/>
      <c r="O190" s="218"/>
      <c r="P190" s="218"/>
    </row>
    <row r="191" spans="1:16" s="92" customFormat="1" ht="12.5">
      <c r="A191" s="218"/>
      <c r="B191" s="218"/>
      <c r="C191" s="31">
        <f t="shared" si="40"/>
        <v>2014</v>
      </c>
      <c r="D191" s="419"/>
      <c r="E191" s="419"/>
      <c r="F191" s="419"/>
      <c r="G191" s="419"/>
      <c r="H191" s="419"/>
      <c r="I191" s="419">
        <v>38122.397624499914</v>
      </c>
      <c r="J191" s="419">
        <v>42967.220275892272</v>
      </c>
      <c r="K191" s="125"/>
      <c r="L191" s="218"/>
      <c r="M191" s="218"/>
      <c r="N191" s="218"/>
      <c r="O191" s="218"/>
      <c r="P191" s="218"/>
    </row>
    <row r="192" spans="1:16" s="92" customFormat="1" ht="12.5">
      <c r="A192" s="218"/>
      <c r="B192" s="218"/>
      <c r="C192" s="31">
        <f t="shared" si="40"/>
        <v>2015</v>
      </c>
      <c r="D192" s="419"/>
      <c r="E192" s="419"/>
      <c r="F192" s="419"/>
      <c r="G192" s="419"/>
      <c r="H192" s="419">
        <v>33519.038155912102</v>
      </c>
      <c r="I192" s="419">
        <v>37935.251671974482</v>
      </c>
      <c r="J192" s="419">
        <v>44065.195836116618</v>
      </c>
      <c r="K192" s="125"/>
      <c r="L192" s="218"/>
      <c r="M192" s="125"/>
      <c r="N192" s="125"/>
      <c r="O192" s="125"/>
      <c r="P192" s="125"/>
    </row>
    <row r="193" spans="1:16" s="92" customFormat="1" ht="12.5">
      <c r="A193" s="218"/>
      <c r="B193" s="218"/>
      <c r="C193" s="31">
        <f t="shared" si="40"/>
        <v>2016</v>
      </c>
      <c r="D193" s="419"/>
      <c r="E193" s="419"/>
      <c r="F193" s="419"/>
      <c r="G193" s="419">
        <v>26987.885348328644</v>
      </c>
      <c r="H193" s="419">
        <v>34314.23869026958</v>
      </c>
      <c r="I193" s="419">
        <v>38150.178556968174</v>
      </c>
      <c r="J193" s="419">
        <v>45077.595363179535</v>
      </c>
      <c r="K193" s="125"/>
      <c r="L193" s="218"/>
      <c r="M193" s="218"/>
      <c r="N193" s="218"/>
      <c r="O193" s="218"/>
      <c r="P193" s="218"/>
    </row>
    <row r="194" spans="1:16" s="92" customFormat="1" ht="12.5">
      <c r="A194" s="218"/>
      <c r="B194" s="218"/>
      <c r="C194" s="31">
        <f t="shared" si="40"/>
        <v>2017</v>
      </c>
      <c r="D194" s="419"/>
      <c r="E194" s="419"/>
      <c r="F194" s="419">
        <v>18285.240401382318</v>
      </c>
      <c r="G194" s="419">
        <v>28616.312644606522</v>
      </c>
      <c r="H194" s="419">
        <v>34879.969081612981</v>
      </c>
      <c r="I194" s="419">
        <v>38999.818732601932</v>
      </c>
      <c r="J194" s="419"/>
      <c r="K194" s="125"/>
      <c r="L194" s="218"/>
      <c r="M194" s="218"/>
      <c r="N194" s="218"/>
      <c r="O194" s="218"/>
      <c r="P194" s="218"/>
    </row>
    <row r="195" spans="1:16" s="92" customFormat="1" ht="12.5">
      <c r="A195" s="218"/>
      <c r="B195" s="218"/>
      <c r="C195" s="31">
        <f t="shared" si="40"/>
        <v>2018</v>
      </c>
      <c r="D195" s="419"/>
      <c r="E195" s="419">
        <v>8237.8212471971401</v>
      </c>
      <c r="F195" s="419">
        <v>18880.024201589033</v>
      </c>
      <c r="G195" s="419">
        <v>27849.01191609952</v>
      </c>
      <c r="H195" s="419">
        <v>34128.16517402263</v>
      </c>
      <c r="I195" s="419"/>
      <c r="J195" s="419"/>
      <c r="K195" s="125"/>
      <c r="L195" s="218"/>
      <c r="M195" s="218"/>
      <c r="N195" s="218"/>
      <c r="O195" s="218"/>
      <c r="P195" s="218"/>
    </row>
    <row r="196" spans="1:16" s="92" customFormat="1" ht="12.5">
      <c r="A196" s="218"/>
      <c r="B196" s="218"/>
      <c r="C196" s="31">
        <f t="shared" si="40"/>
        <v>2019</v>
      </c>
      <c r="D196" s="419">
        <v>4218.5445552794572</v>
      </c>
      <c r="E196" s="419">
        <v>12908.746838212764</v>
      </c>
      <c r="F196" s="419">
        <v>19363.120257319148</v>
      </c>
      <c r="G196" s="419">
        <v>28582.635830576211</v>
      </c>
      <c r="H196" s="419"/>
      <c r="I196" s="419"/>
      <c r="J196" s="419"/>
      <c r="K196" s="125"/>
      <c r="L196" s="218"/>
      <c r="M196" s="218"/>
      <c r="N196" s="218"/>
      <c r="O196" s="218"/>
      <c r="P196" s="218"/>
    </row>
    <row r="197" spans="1:16" s="92" customFormat="1" ht="12.5">
      <c r="A197" s="218"/>
      <c r="B197" s="218"/>
      <c r="C197" s="31">
        <f t="shared" si="40"/>
        <v>2020</v>
      </c>
      <c r="D197" s="419">
        <v>4677.2628490146726</v>
      </c>
      <c r="E197" s="419">
        <v>13292.396595424587</v>
      </c>
      <c r="F197" s="419">
        <v>21860.320355174816</v>
      </c>
      <c r="G197" s="419"/>
      <c r="H197" s="419"/>
      <c r="I197" s="419"/>
      <c r="J197" s="419"/>
      <c r="K197" s="125"/>
      <c r="L197" s="218"/>
      <c r="M197" s="218"/>
      <c r="N197" s="218"/>
      <c r="O197" s="218"/>
      <c r="P197" s="218"/>
    </row>
    <row r="198" spans="1:16" s="92" customFormat="1" ht="12.5">
      <c r="A198" s="218"/>
      <c r="B198" s="218"/>
      <c r="C198" s="31">
        <f t="shared" si="40"/>
        <v>2021</v>
      </c>
      <c r="D198" s="419">
        <v>4912.909275315712</v>
      </c>
      <c r="E198" s="419">
        <v>14359.802568594938</v>
      </c>
      <c r="F198" s="419"/>
      <c r="G198" s="419"/>
      <c r="H198" s="419"/>
      <c r="I198" s="419"/>
      <c r="J198" s="419"/>
      <c r="K198" s="125"/>
      <c r="L198" s="218"/>
      <c r="M198" s="218"/>
      <c r="N198" s="218"/>
      <c r="O198" s="218"/>
      <c r="P198" s="218"/>
    </row>
    <row r="199" spans="1:16" s="92" customFormat="1" ht="12.5">
      <c r="A199" s="218"/>
      <c r="B199" s="218"/>
      <c r="C199" s="31">
        <f t="shared" si="40"/>
        <v>2022</v>
      </c>
      <c r="D199" s="419">
        <v>5238.6020810566824</v>
      </c>
      <c r="E199" s="419"/>
      <c r="F199" s="419"/>
      <c r="G199" s="419"/>
      <c r="H199" s="419"/>
      <c r="I199" s="419"/>
      <c r="J199" s="419"/>
      <c r="K199" s="125"/>
      <c r="L199" s="218"/>
      <c r="M199" s="218"/>
      <c r="N199" s="218"/>
      <c r="O199" s="218"/>
      <c r="P199" s="218"/>
    </row>
    <row r="200" spans="1:16" s="92" customFormat="1" ht="12.5">
      <c r="A200" s="218"/>
      <c r="B200" s="218"/>
      <c r="C200" s="218"/>
      <c r="D200" s="125"/>
      <c r="E200" s="125"/>
      <c r="F200" s="125"/>
      <c r="G200" s="125"/>
      <c r="H200" s="125"/>
      <c r="I200" s="125"/>
      <c r="J200" s="125"/>
      <c r="K200" s="125"/>
      <c r="L200" s="218"/>
      <c r="M200" s="218"/>
      <c r="N200" s="218"/>
      <c r="O200" s="218"/>
      <c r="P200" s="218"/>
    </row>
    <row r="201" spans="1:16" s="92" customFormat="1" ht="12.5">
      <c r="A201" s="118"/>
      <c r="B201" s="118" t="s">
        <v>254</v>
      </c>
      <c r="C201" s="118"/>
      <c r="D201" s="118"/>
      <c r="E201" s="118"/>
      <c r="F201" s="118"/>
      <c r="G201" s="118"/>
      <c r="H201" s="118"/>
      <c r="I201" s="118"/>
      <c r="J201" s="118"/>
      <c r="K201" s="118"/>
      <c r="L201" s="118"/>
      <c r="M201" s="218"/>
      <c r="N201" s="218"/>
      <c r="O201" s="218"/>
      <c r="P201" s="218"/>
    </row>
    <row r="202" spans="1:16" s="92" customFormat="1" ht="12.5">
      <c r="A202" s="41"/>
      <c r="B202" s="41" t="s">
        <v>294</v>
      </c>
      <c r="C202" s="41"/>
      <c r="D202" s="41"/>
      <c r="E202" s="41"/>
      <c r="F202" s="41"/>
      <c r="G202" s="41"/>
      <c r="H202" s="41"/>
      <c r="I202" s="41"/>
      <c r="J202" s="41"/>
      <c r="K202" s="41"/>
      <c r="L202" s="41"/>
      <c r="M202" s="218"/>
      <c r="N202" s="218"/>
      <c r="O202" s="218"/>
      <c r="P202" s="218"/>
    </row>
    <row r="203" spans="1:16" s="92" customFormat="1" ht="12.5">
      <c r="A203" s="218"/>
      <c r="B203" s="218"/>
      <c r="C203" s="218"/>
      <c r="D203" s="218"/>
      <c r="E203" s="218"/>
      <c r="F203" s="218"/>
      <c r="G203" s="218"/>
      <c r="H203" s="218"/>
      <c r="I203" s="218"/>
      <c r="J203" s="218"/>
      <c r="K203" s="218"/>
      <c r="L203" s="218"/>
      <c r="M203" s="218"/>
      <c r="N203" s="218"/>
      <c r="O203" s="218"/>
      <c r="P203" s="218"/>
    </row>
    <row r="204" spans="1:16" s="92" customFormat="1" ht="12.5">
      <c r="A204" s="218"/>
      <c r="B204" s="218"/>
      <c r="C204" s="31" t="s">
        <v>192</v>
      </c>
      <c r="D204" s="509" t="s">
        <v>287</v>
      </c>
      <c r="E204" s="509"/>
      <c r="F204" s="509"/>
      <c r="G204" s="509"/>
      <c r="H204" s="509"/>
      <c r="I204" s="509"/>
      <c r="J204" s="509"/>
      <c r="K204" s="250"/>
      <c r="L204" s="218"/>
      <c r="M204" s="218"/>
      <c r="N204" s="218"/>
      <c r="O204" s="218"/>
      <c r="P204" s="218"/>
    </row>
    <row r="205" spans="1:16" s="92" customFormat="1" ht="12.5">
      <c r="A205" s="218"/>
      <c r="B205" s="218"/>
      <c r="C205" s="33" t="s">
        <v>8</v>
      </c>
      <c r="D205" s="70">
        <f t="shared" ref="D205:J205" si="41">+D188</f>
        <v>12</v>
      </c>
      <c r="E205" s="70">
        <f t="shared" si="41"/>
        <v>24</v>
      </c>
      <c r="F205" s="70">
        <f t="shared" si="41"/>
        <v>36</v>
      </c>
      <c r="G205" s="70">
        <f t="shared" si="41"/>
        <v>48</v>
      </c>
      <c r="H205" s="70">
        <f t="shared" si="41"/>
        <v>60</v>
      </c>
      <c r="I205" s="70">
        <f t="shared" si="41"/>
        <v>72</v>
      </c>
      <c r="J205" s="70">
        <f t="shared" si="41"/>
        <v>84</v>
      </c>
      <c r="K205" s="70"/>
      <c r="L205" s="218"/>
      <c r="M205" s="218"/>
      <c r="N205" s="218"/>
      <c r="O205" s="218"/>
      <c r="P205" s="218"/>
    </row>
    <row r="206" spans="1:16" s="92" customFormat="1" ht="4.5" customHeight="1">
      <c r="A206" s="218"/>
      <c r="B206" s="218"/>
      <c r="C206" s="218"/>
      <c r="D206" s="218"/>
      <c r="E206" s="218"/>
      <c r="F206" s="218"/>
      <c r="G206" s="218"/>
      <c r="H206" s="218"/>
      <c r="I206" s="218"/>
      <c r="J206" s="218"/>
      <c r="K206" s="218"/>
      <c r="L206" s="218"/>
      <c r="M206" s="218"/>
      <c r="N206" s="218"/>
      <c r="O206" s="218"/>
      <c r="P206" s="218"/>
    </row>
    <row r="207" spans="1:16" s="92" customFormat="1" ht="12.5">
      <c r="A207" s="218"/>
      <c r="B207" s="218"/>
      <c r="C207" s="31">
        <f t="shared" ref="C207:C215" si="42">+C190</f>
        <v>2013</v>
      </c>
      <c r="D207" s="419"/>
      <c r="E207" s="419"/>
      <c r="F207" s="419"/>
      <c r="G207" s="419"/>
      <c r="H207" s="419"/>
      <c r="I207" s="419"/>
      <c r="J207" s="419">
        <v>-59035.035419467713</v>
      </c>
      <c r="K207" s="125"/>
      <c r="L207" s="218"/>
      <c r="M207" s="218"/>
      <c r="N207" s="218"/>
      <c r="O207" s="218"/>
      <c r="P207" s="218"/>
    </row>
    <row r="208" spans="1:16" s="92" customFormat="1" ht="12.5">
      <c r="A208" s="218"/>
      <c r="B208" s="218"/>
      <c r="C208" s="31">
        <f t="shared" si="42"/>
        <v>2014</v>
      </c>
      <c r="D208" s="419"/>
      <c r="E208" s="419"/>
      <c r="F208" s="419"/>
      <c r="G208" s="419"/>
      <c r="H208" s="419"/>
      <c r="I208" s="419">
        <v>-60385.87783720786</v>
      </c>
      <c r="J208" s="419">
        <v>-38971.268790234288</v>
      </c>
      <c r="K208" s="125"/>
      <c r="L208" s="218"/>
      <c r="M208" s="218"/>
      <c r="N208" s="218"/>
      <c r="O208" s="218"/>
      <c r="P208" s="218"/>
    </row>
    <row r="209" spans="1:16" s="92" customFormat="1" ht="12.5">
      <c r="A209" s="218"/>
      <c r="B209" s="218"/>
      <c r="C209" s="31">
        <f t="shared" si="42"/>
        <v>2015</v>
      </c>
      <c r="D209" s="419"/>
      <c r="E209" s="419"/>
      <c r="F209" s="419"/>
      <c r="G209" s="419"/>
      <c r="H209" s="419">
        <v>-5228.9699523222871</v>
      </c>
      <c r="I209" s="419">
        <v>-27616.86321719742</v>
      </c>
      <c r="J209" s="419">
        <v>-18331.121467824512</v>
      </c>
      <c r="K209" s="125"/>
      <c r="L209" s="218"/>
      <c r="M209" s="218"/>
      <c r="N209" s="218"/>
      <c r="O209" s="218"/>
      <c r="P209" s="218"/>
    </row>
    <row r="210" spans="1:16" s="92" customFormat="1" ht="12.5">
      <c r="A210" s="218"/>
      <c r="B210" s="218"/>
      <c r="C210" s="31">
        <f t="shared" si="42"/>
        <v>2016</v>
      </c>
      <c r="D210" s="419"/>
      <c r="E210" s="419"/>
      <c r="F210" s="419"/>
      <c r="G210" s="419">
        <v>85956.414834426731</v>
      </c>
      <c r="H210" s="419">
        <v>24294.480992710862</v>
      </c>
      <c r="I210" s="419">
        <v>-7057.7830330391125</v>
      </c>
      <c r="J210" s="419"/>
      <c r="K210" s="125"/>
      <c r="L210" s="218"/>
      <c r="M210" s="218"/>
      <c r="N210" s="218"/>
      <c r="O210" s="218"/>
      <c r="P210" s="218"/>
    </row>
    <row r="211" spans="1:16" s="92" customFormat="1" ht="12.5">
      <c r="A211" s="218"/>
      <c r="B211" s="218"/>
      <c r="C211" s="31">
        <f t="shared" si="42"/>
        <v>2017</v>
      </c>
      <c r="D211" s="419"/>
      <c r="E211" s="419"/>
      <c r="F211" s="419">
        <v>108906.89183063309</v>
      </c>
      <c r="G211" s="419">
        <v>96694.52042612544</v>
      </c>
      <c r="H211" s="419">
        <v>29543.333812126195</v>
      </c>
      <c r="I211" s="419"/>
      <c r="J211" s="419"/>
      <c r="K211" s="125"/>
      <c r="L211" s="218"/>
      <c r="M211" s="218"/>
      <c r="N211" s="218"/>
      <c r="O211" s="218"/>
      <c r="P211" s="218"/>
    </row>
    <row r="212" spans="1:16" s="92" customFormat="1" ht="12.5">
      <c r="A212" s="218"/>
      <c r="B212" s="218"/>
      <c r="C212" s="31">
        <f t="shared" si="42"/>
        <v>2018</v>
      </c>
      <c r="D212" s="419"/>
      <c r="E212" s="419">
        <v>8180.1564984667602</v>
      </c>
      <c r="F212" s="419">
        <v>69761.689424871482</v>
      </c>
      <c r="G212" s="419">
        <v>47844.602471858976</v>
      </c>
      <c r="H212" s="419"/>
      <c r="I212" s="419"/>
      <c r="J212" s="419"/>
      <c r="K212" s="125"/>
      <c r="L212" s="218"/>
      <c r="M212" s="218"/>
      <c r="N212" s="218"/>
      <c r="O212" s="218"/>
      <c r="P212" s="218"/>
    </row>
    <row r="213" spans="1:16" s="92" customFormat="1" ht="12.5">
      <c r="A213" s="218"/>
      <c r="B213" s="218"/>
      <c r="C213" s="31">
        <f t="shared" si="42"/>
        <v>2019</v>
      </c>
      <c r="D213" s="419">
        <v>-5096.0018227775845</v>
      </c>
      <c r="E213" s="419">
        <v>-35369.966336702972</v>
      </c>
      <c r="F213" s="419">
        <v>3543.4510070894039</v>
      </c>
      <c r="G213" s="419"/>
      <c r="H213" s="419"/>
      <c r="I213" s="419"/>
      <c r="J213" s="419"/>
      <c r="K213" s="125"/>
      <c r="L213" s="218"/>
      <c r="M213" s="218"/>
      <c r="N213" s="218"/>
      <c r="O213" s="218"/>
      <c r="P213" s="218"/>
    </row>
    <row r="214" spans="1:16" s="92" customFormat="1" ht="12.5">
      <c r="A214" s="218"/>
      <c r="B214" s="218"/>
      <c r="C214" s="31">
        <f t="shared" si="42"/>
        <v>2020</v>
      </c>
      <c r="D214" s="419">
        <v>-10434.973416151734</v>
      </c>
      <c r="E214" s="419">
        <v>-43904.78595468741</v>
      </c>
      <c r="F214" s="419"/>
      <c r="G214" s="419"/>
      <c r="H214" s="419"/>
      <c r="I214" s="419"/>
      <c r="J214" s="419"/>
      <c r="K214" s="125"/>
      <c r="L214" s="218"/>
      <c r="M214" s="218"/>
      <c r="N214" s="218"/>
      <c r="O214" s="218"/>
      <c r="P214" s="218"/>
    </row>
    <row r="215" spans="1:16" s="92" customFormat="1" ht="12.5">
      <c r="A215" s="218"/>
      <c r="B215" s="218"/>
      <c r="C215" s="31">
        <f t="shared" si="42"/>
        <v>2021</v>
      </c>
      <c r="D215" s="419">
        <v>-4013.8468779329369</v>
      </c>
      <c r="E215" s="419"/>
      <c r="F215" s="419"/>
      <c r="G215" s="419"/>
      <c r="H215" s="419"/>
      <c r="I215" s="419"/>
      <c r="J215" s="419"/>
      <c r="K215" s="125"/>
      <c r="L215" s="218"/>
      <c r="M215" s="218"/>
      <c r="N215" s="218"/>
      <c r="O215" s="218"/>
      <c r="P215" s="218"/>
    </row>
    <row r="216" spans="1:16" s="92" customFormat="1" ht="12.5">
      <c r="A216" s="218"/>
      <c r="B216" s="218"/>
      <c r="C216" s="31"/>
      <c r="D216" s="218"/>
      <c r="E216" s="218"/>
      <c r="F216" s="163"/>
      <c r="G216" s="218"/>
      <c r="H216" s="218"/>
      <c r="I216" s="259"/>
      <c r="J216" s="218"/>
      <c r="K216" s="218"/>
      <c r="L216" s="218"/>
      <c r="M216" s="218"/>
      <c r="N216" s="218"/>
      <c r="O216" s="218"/>
      <c r="P216" s="218"/>
    </row>
    <row r="217" spans="1:16" s="92" customFormat="1" ht="12.5">
      <c r="A217" s="118"/>
      <c r="B217" s="118" t="s">
        <v>295</v>
      </c>
      <c r="C217" s="118"/>
      <c r="D217" s="118"/>
      <c r="E217" s="118"/>
      <c r="F217" s="118"/>
      <c r="G217" s="118"/>
      <c r="H217" s="118"/>
      <c r="I217" s="118"/>
      <c r="J217" s="118"/>
      <c r="K217" s="117"/>
      <c r="L217" s="218"/>
      <c r="M217" s="218"/>
      <c r="N217" s="218"/>
      <c r="O217" s="218"/>
      <c r="P217" s="218"/>
    </row>
    <row r="218" spans="1:16" s="92" customFormat="1" ht="12.5">
      <c r="A218" s="218"/>
      <c r="B218" s="218"/>
      <c r="C218" s="218"/>
      <c r="D218" s="218"/>
      <c r="E218" s="218"/>
      <c r="F218" s="218"/>
      <c r="G218" s="218"/>
      <c r="H218" s="218"/>
      <c r="I218" s="218"/>
      <c r="J218" s="218"/>
      <c r="K218" s="218"/>
      <c r="L218" s="218"/>
      <c r="M218" s="218"/>
      <c r="N218" s="218"/>
      <c r="O218" s="218"/>
      <c r="P218" s="218"/>
    </row>
    <row r="219" spans="1:16" s="92" customFormat="1" ht="12.5">
      <c r="A219" s="218"/>
      <c r="B219" s="218"/>
      <c r="C219" s="31" t="s">
        <v>192</v>
      </c>
      <c r="D219" s="509" t="s">
        <v>287</v>
      </c>
      <c r="E219" s="509"/>
      <c r="F219" s="509"/>
      <c r="G219" s="509"/>
      <c r="H219" s="509"/>
      <c r="I219" s="509"/>
      <c r="J219" s="509"/>
      <c r="K219" s="250"/>
      <c r="L219" s="218"/>
      <c r="M219" s="218"/>
      <c r="N219" s="218"/>
      <c r="O219" s="218"/>
      <c r="P219" s="218"/>
    </row>
    <row r="220" spans="1:16" s="92" customFormat="1" ht="12.5">
      <c r="A220" s="218"/>
      <c r="B220" s="218"/>
      <c r="C220" s="33" t="s">
        <v>8</v>
      </c>
      <c r="D220" s="70">
        <f t="shared" ref="D220:J220" si="43">+D188</f>
        <v>12</v>
      </c>
      <c r="E220" s="70">
        <f t="shared" si="43"/>
        <v>24</v>
      </c>
      <c r="F220" s="70">
        <f t="shared" si="43"/>
        <v>36</v>
      </c>
      <c r="G220" s="70">
        <f t="shared" si="43"/>
        <v>48</v>
      </c>
      <c r="H220" s="70">
        <f t="shared" si="43"/>
        <v>60</v>
      </c>
      <c r="I220" s="70">
        <f t="shared" si="43"/>
        <v>72</v>
      </c>
      <c r="J220" s="70">
        <f t="shared" si="43"/>
        <v>84</v>
      </c>
      <c r="K220" s="70"/>
      <c r="L220" s="218"/>
      <c r="M220" s="218"/>
      <c r="N220" s="218"/>
      <c r="O220" s="218"/>
      <c r="P220" s="218"/>
    </row>
    <row r="221" spans="1:16" s="92" customFormat="1" ht="4.5" customHeight="1">
      <c r="A221" s="218"/>
      <c r="B221" s="218"/>
      <c r="C221" s="218"/>
      <c r="D221" s="218"/>
      <c r="E221" s="218"/>
      <c r="F221" s="218"/>
      <c r="G221" s="218"/>
      <c r="H221" s="218"/>
      <c r="I221" s="218"/>
      <c r="J221" s="218"/>
      <c r="K221" s="218"/>
      <c r="L221" s="218"/>
      <c r="M221" s="218"/>
      <c r="N221" s="218"/>
      <c r="O221" s="218"/>
      <c r="P221" s="218"/>
    </row>
    <row r="222" spans="1:16" s="92" customFormat="1" ht="12.5">
      <c r="A222" s="218"/>
      <c r="B222" s="218"/>
      <c r="C222" s="31">
        <f t="shared" ref="C222:C231" si="44">+C190</f>
        <v>2013</v>
      </c>
      <c r="D222" s="125"/>
      <c r="E222" s="125"/>
      <c r="F222" s="125"/>
      <c r="G222" s="125"/>
      <c r="H222" s="125"/>
      <c r="I222" s="125"/>
      <c r="J222" s="125">
        <f t="shared" ref="J222" si="45">J207+J163</f>
        <v>323768.74198793049</v>
      </c>
      <c r="K222" s="125"/>
      <c r="L222" s="218"/>
      <c r="M222" s="218"/>
      <c r="N222" s="218"/>
      <c r="O222" s="218"/>
      <c r="P222" s="218"/>
    </row>
    <row r="223" spans="1:16" s="92" customFormat="1" ht="12.5">
      <c r="A223" s="218"/>
      <c r="B223" s="218"/>
      <c r="C223" s="31">
        <f t="shared" si="44"/>
        <v>2014</v>
      </c>
      <c r="D223" s="125"/>
      <c r="E223" s="125"/>
      <c r="F223" s="125"/>
      <c r="G223" s="125"/>
      <c r="H223" s="125"/>
      <c r="I223" s="125">
        <f t="shared" ref="I223:J223" si="46">I208+I164</f>
        <v>435151.26497523824</v>
      </c>
      <c r="J223" s="125">
        <f t="shared" si="46"/>
        <v>353491.32120976574</v>
      </c>
      <c r="K223" s="125"/>
      <c r="L223" s="218"/>
      <c r="M223" s="218"/>
      <c r="N223" s="218"/>
      <c r="O223" s="218"/>
      <c r="P223" s="218"/>
    </row>
    <row r="224" spans="1:16" s="92" customFormat="1" ht="12.5">
      <c r="A224" s="218"/>
      <c r="B224" s="218"/>
      <c r="C224" s="31">
        <f t="shared" si="44"/>
        <v>2015</v>
      </c>
      <c r="D224" s="125"/>
      <c r="E224" s="125"/>
      <c r="F224" s="125"/>
      <c r="G224" s="125"/>
      <c r="H224" s="125">
        <f t="shared" ref="H224:J224" si="47">H209+H165</f>
        <v>588026.43753513834</v>
      </c>
      <c r="I224" s="125">
        <f t="shared" si="47"/>
        <v>448849.89778280212</v>
      </c>
      <c r="J224" s="125">
        <f t="shared" si="47"/>
        <v>377462.46753217501</v>
      </c>
      <c r="K224" s="125"/>
      <c r="L224" s="218"/>
      <c r="M224" s="218"/>
      <c r="N224" s="218"/>
      <c r="O224" s="218"/>
      <c r="P224" s="218"/>
    </row>
    <row r="225" spans="1:16" s="92" customFormat="1" ht="12.5">
      <c r="A225" s="218"/>
      <c r="B225" s="218"/>
      <c r="C225" s="31">
        <f t="shared" si="44"/>
        <v>2016</v>
      </c>
      <c r="D225" s="125"/>
      <c r="E225" s="125"/>
      <c r="F225" s="125"/>
      <c r="G225" s="125">
        <f t="shared" ref="G225:I225" si="48">G210+G166</f>
        <v>797743.53083442675</v>
      </c>
      <c r="H225" s="125">
        <f t="shared" si="48"/>
        <v>603972.60899271094</v>
      </c>
      <c r="I225" s="125">
        <f t="shared" si="48"/>
        <v>464058.77196696086</v>
      </c>
      <c r="J225" s="125">
        <f>J210+J166</f>
        <v>394699.42499999999</v>
      </c>
      <c r="K225" s="125"/>
      <c r="L225" s="218"/>
      <c r="M225" s="218"/>
      <c r="N225" s="218"/>
      <c r="O225" s="218"/>
      <c r="P225" s="218"/>
    </row>
    <row r="226" spans="1:16" s="92" customFormat="1" ht="12.5">
      <c r="A226" s="218"/>
      <c r="B226" s="218"/>
      <c r="C226" s="31">
        <f t="shared" si="44"/>
        <v>2017</v>
      </c>
      <c r="D226" s="125"/>
      <c r="E226" s="125"/>
      <c r="F226" s="125">
        <f t="shared" ref="F226:H226" si="49">F211+F167</f>
        <v>959219.15983063285</v>
      </c>
      <c r="G226" s="125">
        <f t="shared" si="49"/>
        <v>819826.03942612535</v>
      </c>
      <c r="H226" s="125">
        <f t="shared" si="49"/>
        <v>619035.27681212616</v>
      </c>
      <c r="I226" s="125">
        <f>I211+I167</f>
        <v>476343.78600000002</v>
      </c>
      <c r="J226" s="125"/>
      <c r="K226" s="125"/>
      <c r="L226" s="218"/>
      <c r="M226" s="218"/>
      <c r="N226" s="218"/>
      <c r="O226" s="218"/>
      <c r="P226" s="218"/>
    </row>
    <row r="227" spans="1:16" s="92" customFormat="1" ht="12.5">
      <c r="A227" s="218"/>
      <c r="B227" s="218"/>
      <c r="C227" s="31">
        <f t="shared" si="44"/>
        <v>2018</v>
      </c>
      <c r="D227" s="125"/>
      <c r="E227" s="125">
        <f t="shared" ref="D227:E230" si="50">E212+E168</f>
        <v>816119.32549846673</v>
      </c>
      <c r="F227" s="125">
        <f t="shared" ref="F227:G227" si="51">F212+F168</f>
        <v>968957.54842487175</v>
      </c>
      <c r="G227" s="125">
        <f t="shared" si="51"/>
        <v>839986.21747185895</v>
      </c>
      <c r="H227" s="125">
        <f>H212+H168</f>
        <v>636387.89599999995</v>
      </c>
      <c r="I227" s="125"/>
      <c r="J227" s="125"/>
      <c r="K227" s="125"/>
      <c r="L227" s="218"/>
      <c r="M227" s="260"/>
      <c r="N227" s="218"/>
      <c r="O227" s="218"/>
      <c r="P227" s="218"/>
    </row>
    <row r="228" spans="1:16" s="92" customFormat="1" ht="12.5">
      <c r="A228" s="218"/>
      <c r="B228" s="218"/>
      <c r="C228" s="31">
        <f t="shared" si="44"/>
        <v>2019</v>
      </c>
      <c r="D228" s="125">
        <f t="shared" si="50"/>
        <v>349721.56217722245</v>
      </c>
      <c r="E228" s="125">
        <f t="shared" si="50"/>
        <v>849563.35566329712</v>
      </c>
      <c r="F228" s="125">
        <f t="shared" ref="F228" si="52">F213+F169</f>
        <v>1044173.9570070895</v>
      </c>
      <c r="G228" s="125">
        <f>G213+G169</f>
        <v>872542.12399999995</v>
      </c>
      <c r="H228" s="125"/>
      <c r="I228" s="125"/>
      <c r="J228" s="125"/>
      <c r="K228" s="125"/>
      <c r="L228" s="218"/>
      <c r="M228" s="260"/>
      <c r="N228" s="218"/>
      <c r="O228" s="218"/>
      <c r="P228" s="218"/>
    </row>
    <row r="229" spans="1:16" s="92" customFormat="1" ht="12.5">
      <c r="A229" s="218"/>
      <c r="B229" s="218"/>
      <c r="C229" s="31">
        <f t="shared" si="44"/>
        <v>2020</v>
      </c>
      <c r="D229" s="125">
        <f t="shared" si="50"/>
        <v>338937.85235384828</v>
      </c>
      <c r="E229" s="125">
        <f t="shared" si="50"/>
        <v>768965.14304531261</v>
      </c>
      <c r="F229" s="125">
        <f>F214+F170</f>
        <v>908449.33299999998</v>
      </c>
      <c r="G229" s="125"/>
      <c r="H229" s="125"/>
      <c r="I229" s="125"/>
      <c r="J229" s="125"/>
      <c r="K229" s="125"/>
      <c r="L229" s="218"/>
      <c r="M229" s="260"/>
      <c r="N229" s="218"/>
      <c r="O229" s="218"/>
      <c r="P229" s="218"/>
    </row>
    <row r="230" spans="1:16" s="92" customFormat="1" ht="12.5">
      <c r="A230" s="218"/>
      <c r="B230" s="218"/>
      <c r="C230" s="31">
        <f t="shared" si="44"/>
        <v>2021</v>
      </c>
      <c r="D230" s="125">
        <f t="shared" si="50"/>
        <v>393189.95512206707</v>
      </c>
      <c r="E230" s="125">
        <f>E215+E171</f>
        <v>917964.73899999994</v>
      </c>
      <c r="F230" s="125"/>
      <c r="G230" s="125"/>
      <c r="H230" s="125"/>
      <c r="I230" s="125"/>
      <c r="J230" s="125"/>
      <c r="K230" s="125"/>
      <c r="L230" s="218"/>
      <c r="M230" s="260"/>
      <c r="N230" s="218"/>
      <c r="O230" s="218"/>
      <c r="P230" s="218"/>
    </row>
    <row r="231" spans="1:16" s="92" customFormat="1" ht="12.5">
      <c r="A231" s="218"/>
      <c r="B231" s="218"/>
      <c r="C231" s="31">
        <f t="shared" si="44"/>
        <v>2022</v>
      </c>
      <c r="D231" s="125">
        <f>D216+D172</f>
        <v>441027.43199999997</v>
      </c>
      <c r="E231" s="125"/>
      <c r="F231" s="125"/>
      <c r="G231" s="125"/>
      <c r="H231" s="125"/>
      <c r="I231" s="125"/>
      <c r="J231" s="125"/>
      <c r="K231" s="125"/>
      <c r="L231" s="218"/>
      <c r="M231" s="260"/>
      <c r="N231" s="218"/>
      <c r="O231" s="218"/>
      <c r="P231" s="218"/>
    </row>
    <row r="232" spans="1:16" s="92" customFormat="1" ht="12.5">
      <c r="A232" s="218"/>
      <c r="B232" s="218"/>
      <c r="C232" s="31"/>
      <c r="D232" s="125"/>
      <c r="E232" s="218"/>
      <c r="F232" s="125"/>
      <c r="G232" s="125"/>
      <c r="H232" s="125"/>
      <c r="I232" s="125"/>
      <c r="J232" s="163"/>
      <c r="K232" s="163"/>
      <c r="L232" s="218"/>
      <c r="M232" s="218"/>
      <c r="N232" s="218"/>
      <c r="O232" s="218"/>
      <c r="P232" s="218"/>
    </row>
    <row r="233" spans="1:16" s="92" customFormat="1" ht="67.400000000000006" customHeight="1">
      <c r="A233" s="46" t="s">
        <v>41</v>
      </c>
      <c r="B233" s="510" t="s">
        <v>255</v>
      </c>
      <c r="C233" s="510"/>
      <c r="D233" s="510"/>
      <c r="E233" s="510"/>
      <c r="F233" s="510"/>
      <c r="G233" s="510"/>
      <c r="H233" s="510"/>
      <c r="I233" s="510"/>
      <c r="J233" s="510"/>
      <c r="K233" s="510"/>
      <c r="L233" s="251"/>
      <c r="M233" s="218"/>
      <c r="N233" s="218"/>
      <c r="O233" s="218"/>
      <c r="P233" s="218"/>
    </row>
    <row r="234" spans="1:16" s="92" customFormat="1" ht="39" customHeight="1">
      <c r="A234" s="46" t="s">
        <v>76</v>
      </c>
      <c r="B234" s="510" t="s">
        <v>256</v>
      </c>
      <c r="C234" s="510"/>
      <c r="D234" s="510"/>
      <c r="E234" s="510"/>
      <c r="F234" s="510"/>
      <c r="G234" s="510"/>
      <c r="H234" s="510"/>
      <c r="I234" s="510"/>
      <c r="J234" s="510"/>
      <c r="K234" s="510"/>
      <c r="L234" s="251"/>
      <c r="M234" s="218"/>
      <c r="N234" s="218"/>
      <c r="O234" s="218"/>
      <c r="P234" s="218"/>
    </row>
    <row r="235" spans="1:16" s="92" customFormat="1" ht="27" customHeight="1">
      <c r="A235" s="46" t="s">
        <v>165</v>
      </c>
      <c r="B235" s="510" t="s">
        <v>257</v>
      </c>
      <c r="C235" s="510"/>
      <c r="D235" s="510"/>
      <c r="E235" s="510"/>
      <c r="F235" s="510"/>
      <c r="G235" s="510"/>
      <c r="H235" s="510"/>
      <c r="I235" s="510"/>
      <c r="J235" s="510"/>
      <c r="K235" s="510"/>
      <c r="L235" s="251"/>
      <c r="M235" s="218"/>
      <c r="N235" s="218"/>
      <c r="O235" s="218"/>
      <c r="P235" s="218"/>
    </row>
    <row r="236" spans="1:16" s="92" customFormat="1" ht="12.5">
      <c r="A236" s="218"/>
      <c r="B236" s="218"/>
      <c r="C236" s="218"/>
      <c r="D236" s="218"/>
      <c r="E236" s="218"/>
      <c r="F236" s="218"/>
      <c r="G236" s="218"/>
      <c r="H236" s="218"/>
      <c r="I236" s="218"/>
      <c r="J236" s="218"/>
      <c r="K236" s="218"/>
      <c r="L236" s="218"/>
      <c r="M236" s="218"/>
      <c r="N236" s="218"/>
      <c r="O236" s="218"/>
      <c r="P236" s="218"/>
    </row>
    <row r="237" spans="1:16" s="92" customFormat="1" ht="12.5">
      <c r="A237" s="218"/>
      <c r="B237" s="108" t="s">
        <v>420</v>
      </c>
      <c r="C237" s="41"/>
      <c r="D237" s="41"/>
      <c r="E237" s="41"/>
      <c r="F237" s="41"/>
      <c r="G237" s="41"/>
      <c r="H237" s="41"/>
      <c r="I237" s="41"/>
      <c r="J237" s="41"/>
      <c r="K237" s="218"/>
      <c r="L237" s="218"/>
      <c r="M237" s="218"/>
      <c r="N237" s="218"/>
      <c r="O237" s="218"/>
      <c r="P237" s="218"/>
    </row>
    <row r="238" spans="1:16" s="93" customFormat="1" ht="45" customHeight="1">
      <c r="A238" s="108"/>
      <c r="B238" s="108"/>
      <c r="C238" s="250"/>
      <c r="D238" s="111"/>
      <c r="E238" s="111"/>
      <c r="F238" s="111"/>
      <c r="G238" s="111"/>
      <c r="H238" s="111"/>
      <c r="I238" s="108"/>
      <c r="J238" s="108"/>
      <c r="K238" s="108"/>
      <c r="L238" s="46" t="s">
        <v>354</v>
      </c>
      <c r="M238" s="258"/>
      <c r="N238" s="258"/>
      <c r="O238" s="258"/>
      <c r="P238" s="258"/>
    </row>
    <row r="239" spans="1:16" s="92" customFormat="1" ht="13">
      <c r="A239" s="122" t="s">
        <v>31</v>
      </c>
      <c r="B239" s="122"/>
      <c r="C239" s="122"/>
      <c r="D239" s="122"/>
      <c r="E239" s="122"/>
      <c r="F239" s="122"/>
      <c r="G239" s="122"/>
      <c r="H239" s="122"/>
      <c r="I239" s="122"/>
      <c r="J239" s="122"/>
      <c r="K239" s="122"/>
      <c r="L239" s="122"/>
      <c r="M239" s="218"/>
      <c r="N239" s="218"/>
      <c r="O239" s="218"/>
      <c r="P239" s="218"/>
    </row>
    <row r="240" spans="1:16" s="92" customFormat="1" ht="13">
      <c r="A240" s="122" t="s">
        <v>240</v>
      </c>
      <c r="B240" s="122"/>
      <c r="C240" s="122"/>
      <c r="D240" s="122"/>
      <c r="E240" s="122"/>
      <c r="F240" s="122"/>
      <c r="G240" s="122"/>
      <c r="H240" s="122"/>
      <c r="I240" s="122"/>
      <c r="J240" s="122"/>
      <c r="K240" s="122"/>
      <c r="L240" s="122"/>
      <c r="M240" s="218"/>
      <c r="N240" s="218"/>
      <c r="O240" s="218"/>
      <c r="P240" s="218"/>
    </row>
    <row r="241" spans="1:16" s="92" customFormat="1" ht="13">
      <c r="A241" s="122" t="s">
        <v>241</v>
      </c>
      <c r="B241" s="122"/>
      <c r="C241" s="122"/>
      <c r="D241" s="122"/>
      <c r="E241" s="122"/>
      <c r="F241" s="122"/>
      <c r="G241" s="122"/>
      <c r="H241" s="122"/>
      <c r="I241" s="122"/>
      <c r="J241" s="122"/>
      <c r="K241" s="122"/>
      <c r="L241" s="122"/>
      <c r="M241" s="218"/>
      <c r="N241" s="218"/>
      <c r="O241" s="218"/>
      <c r="P241" s="218"/>
    </row>
    <row r="242" spans="1:16" s="92" customFormat="1" ht="13">
      <c r="A242" s="248"/>
      <c r="B242" s="248"/>
      <c r="C242" s="248"/>
      <c r="D242" s="248"/>
      <c r="E242" s="248"/>
      <c r="F242" s="248"/>
      <c r="G242" s="248"/>
      <c r="H242" s="248"/>
      <c r="I242" s="248"/>
      <c r="J242" s="218"/>
      <c r="K242" s="218"/>
      <c r="L242" s="218"/>
      <c r="M242" s="218"/>
      <c r="N242" s="218"/>
      <c r="O242" s="218"/>
      <c r="P242" s="218"/>
    </row>
    <row r="243" spans="1:16" s="92" customFormat="1" ht="12.5">
      <c r="A243" s="218"/>
      <c r="B243" s="218"/>
      <c r="C243" s="218"/>
      <c r="D243" s="218"/>
      <c r="E243" s="218"/>
      <c r="F243" s="218"/>
      <c r="G243" s="218"/>
      <c r="H243" s="218"/>
      <c r="I243" s="218"/>
      <c r="J243" s="218"/>
      <c r="K243" s="218"/>
      <c r="L243" s="218"/>
      <c r="M243" s="218"/>
      <c r="N243" s="218"/>
      <c r="O243" s="218"/>
      <c r="P243" s="218"/>
    </row>
    <row r="244" spans="1:16" s="92" customFormat="1" ht="12.5">
      <c r="A244" s="118"/>
      <c r="B244" s="118" t="s">
        <v>296</v>
      </c>
      <c r="C244" s="118"/>
      <c r="D244" s="118"/>
      <c r="E244" s="118"/>
      <c r="F244" s="118"/>
      <c r="G244" s="118"/>
      <c r="H244" s="118"/>
      <c r="I244" s="118"/>
      <c r="J244" s="118"/>
      <c r="K244" s="117"/>
      <c r="L244" s="218"/>
      <c r="M244" s="218"/>
      <c r="N244" s="218"/>
      <c r="O244" s="218"/>
      <c r="P244" s="218"/>
    </row>
    <row r="245" spans="1:16" s="92" customFormat="1" ht="12.5">
      <c r="A245" s="218"/>
      <c r="B245" s="218"/>
      <c r="C245" s="218"/>
      <c r="D245" s="218"/>
      <c r="E245" s="218"/>
      <c r="F245" s="218"/>
      <c r="G245" s="218"/>
      <c r="H245" s="218"/>
      <c r="I245" s="218"/>
      <c r="J245" s="218"/>
      <c r="K245" s="218"/>
      <c r="L245" s="218"/>
      <c r="M245" s="218"/>
      <c r="N245" s="218"/>
      <c r="O245" s="218"/>
      <c r="P245" s="218"/>
    </row>
    <row r="246" spans="1:16" s="92" customFormat="1" ht="12.5">
      <c r="A246" s="218"/>
      <c r="B246" s="218"/>
      <c r="C246" s="31" t="s">
        <v>192</v>
      </c>
      <c r="D246" s="509" t="s">
        <v>287</v>
      </c>
      <c r="E246" s="509"/>
      <c r="F246" s="509"/>
      <c r="G246" s="509"/>
      <c r="H246" s="509"/>
      <c r="I246" s="509"/>
      <c r="J246" s="509"/>
      <c r="K246" s="250"/>
      <c r="L246" s="218"/>
      <c r="M246" s="218"/>
      <c r="N246" s="218"/>
      <c r="O246" s="218"/>
      <c r="P246" s="218"/>
    </row>
    <row r="247" spans="1:16" s="92" customFormat="1" ht="12.5">
      <c r="A247" s="218"/>
      <c r="B247" s="218"/>
      <c r="C247" s="33" t="s">
        <v>8</v>
      </c>
      <c r="D247" s="70">
        <f t="shared" ref="D247:J247" si="53">D220</f>
        <v>12</v>
      </c>
      <c r="E247" s="70">
        <f t="shared" si="53"/>
        <v>24</v>
      </c>
      <c r="F247" s="70">
        <f t="shared" si="53"/>
        <v>36</v>
      </c>
      <c r="G247" s="70">
        <f t="shared" si="53"/>
        <v>48</v>
      </c>
      <c r="H247" s="70">
        <f t="shared" si="53"/>
        <v>60</v>
      </c>
      <c r="I247" s="70">
        <f t="shared" si="53"/>
        <v>72</v>
      </c>
      <c r="J247" s="70">
        <f t="shared" si="53"/>
        <v>84</v>
      </c>
      <c r="K247" s="70"/>
      <c r="L247" s="218"/>
      <c r="M247" s="218"/>
      <c r="N247" s="218"/>
      <c r="O247" s="218"/>
      <c r="P247" s="218"/>
    </row>
    <row r="248" spans="1:16" s="92" customFormat="1" ht="4.5" customHeight="1">
      <c r="A248" s="218"/>
      <c r="B248" s="218"/>
      <c r="C248" s="218"/>
      <c r="D248" s="218"/>
      <c r="E248" s="218"/>
      <c r="F248" s="218"/>
      <c r="G248" s="218"/>
      <c r="H248" s="218"/>
      <c r="I248" s="218"/>
      <c r="J248" s="218"/>
      <c r="K248" s="218"/>
      <c r="L248" s="218"/>
      <c r="M248" s="218"/>
      <c r="N248" s="218"/>
      <c r="O248" s="218"/>
      <c r="P248" s="218"/>
    </row>
    <row r="249" spans="1:16" s="92" customFormat="1" ht="12.5">
      <c r="A249" s="218"/>
      <c r="B249" s="218"/>
      <c r="C249" s="31">
        <f t="shared" ref="C249:C258" si="54">C222</f>
        <v>2013</v>
      </c>
      <c r="D249" s="125"/>
      <c r="E249" s="125"/>
      <c r="F249" s="125"/>
      <c r="G249" s="125"/>
      <c r="H249" s="125"/>
      <c r="I249" s="125"/>
      <c r="J249" s="125">
        <f t="shared" ref="J249" si="55">J222+J147</f>
        <v>2678590.1646627332</v>
      </c>
      <c r="K249" s="125"/>
      <c r="L249" s="218"/>
      <c r="M249" s="218"/>
      <c r="N249" s="218"/>
      <c r="O249" s="218"/>
      <c r="P249" s="218"/>
    </row>
    <row r="250" spans="1:16" s="92" customFormat="1" ht="12.5">
      <c r="A250" s="218"/>
      <c r="B250" s="218"/>
      <c r="C250" s="31">
        <f t="shared" si="54"/>
        <v>2014</v>
      </c>
      <c r="D250" s="125"/>
      <c r="E250" s="125"/>
      <c r="F250" s="125"/>
      <c r="G250" s="125"/>
      <c r="H250" s="125"/>
      <c r="I250" s="125">
        <f t="shared" ref="I250:J250" si="56">I223+I148</f>
        <v>2792777.5540616293</v>
      </c>
      <c r="J250" s="125">
        <f t="shared" si="56"/>
        <v>2891162.721866766</v>
      </c>
      <c r="K250" s="125"/>
      <c r="L250" s="218"/>
      <c r="M250" s="218"/>
      <c r="N250" s="218"/>
      <c r="O250" s="218"/>
      <c r="P250" s="218"/>
    </row>
    <row r="251" spans="1:16" s="92" customFormat="1" ht="12.5">
      <c r="A251" s="218"/>
      <c r="B251" s="218"/>
      <c r="C251" s="31">
        <f t="shared" si="54"/>
        <v>2015</v>
      </c>
      <c r="D251" s="125"/>
      <c r="E251" s="125"/>
      <c r="F251" s="125"/>
      <c r="G251" s="125"/>
      <c r="H251" s="125">
        <f t="shared" ref="H251:J251" si="57">H224+H149</f>
        <v>2740162.1462743361</v>
      </c>
      <c r="I251" s="125">
        <f t="shared" si="57"/>
        <v>2908267.0638438631</v>
      </c>
      <c r="J251" s="125">
        <f t="shared" si="57"/>
        <v>3024977.7085910207</v>
      </c>
      <c r="K251" s="125"/>
      <c r="L251" s="218"/>
      <c r="M251" s="218"/>
      <c r="N251" s="218"/>
      <c r="O251" s="218"/>
      <c r="P251" s="218"/>
    </row>
    <row r="252" spans="1:16" s="92" customFormat="1" ht="12.5">
      <c r="A252" s="218"/>
      <c r="B252" s="218"/>
      <c r="C252" s="31">
        <f t="shared" si="54"/>
        <v>2016</v>
      </c>
      <c r="D252" s="125"/>
      <c r="E252" s="125"/>
      <c r="F252" s="125"/>
      <c r="G252" s="125">
        <f t="shared" ref="G252:I252" si="58">G225+G150</f>
        <v>2433440.2445141054</v>
      </c>
      <c r="H252" s="125">
        <f t="shared" si="58"/>
        <v>2720138.1498712264</v>
      </c>
      <c r="I252" s="125">
        <f t="shared" si="58"/>
        <v>2897014.5660149097</v>
      </c>
      <c r="J252" s="125">
        <f>J225+J150</f>
        <v>3017611.1409999998</v>
      </c>
      <c r="K252" s="125"/>
      <c r="L252" s="218"/>
      <c r="M252" s="218"/>
      <c r="N252" s="218"/>
      <c r="O252" s="218"/>
      <c r="P252" s="218"/>
    </row>
    <row r="253" spans="1:16" s="92" customFormat="1" ht="12.5">
      <c r="A253" s="218"/>
      <c r="B253" s="218"/>
      <c r="C253" s="31">
        <f t="shared" si="54"/>
        <v>2017</v>
      </c>
      <c r="D253" s="125"/>
      <c r="E253" s="125"/>
      <c r="F253" s="125">
        <f t="shared" ref="F253:H253" si="59">F226+F151</f>
        <v>1969887.5410746932</v>
      </c>
      <c r="G253" s="125">
        <f t="shared" si="59"/>
        <v>2432309.5353181679</v>
      </c>
      <c r="H253" s="125">
        <f t="shared" si="59"/>
        <v>2738525.812737396</v>
      </c>
      <c r="I253" s="125">
        <f>I226+I151</f>
        <v>2929816.1709999996</v>
      </c>
      <c r="J253" s="125"/>
      <c r="K253" s="125"/>
      <c r="L253" s="218"/>
      <c r="M253" s="218"/>
      <c r="N253" s="218"/>
      <c r="O253" s="218"/>
      <c r="P253" s="218"/>
    </row>
    <row r="254" spans="1:16" s="92" customFormat="1" ht="12.5">
      <c r="A254" s="218"/>
      <c r="B254" s="218"/>
      <c r="C254" s="31">
        <f t="shared" si="54"/>
        <v>2018</v>
      </c>
      <c r="D254" s="125"/>
      <c r="E254" s="125">
        <f t="shared" ref="D254:E257" si="60">E227+E152</f>
        <v>1380124.8696831295</v>
      </c>
      <c r="F254" s="125">
        <f t="shared" ref="F254:G254" si="61">F227+F152</f>
        <v>2066611.9062909596</v>
      </c>
      <c r="G254" s="125">
        <f t="shared" si="61"/>
        <v>2567014.7386441696</v>
      </c>
      <c r="H254" s="125">
        <f>H227+H152</f>
        <v>2883941.9529999997</v>
      </c>
      <c r="I254" s="125"/>
      <c r="J254" s="125"/>
      <c r="K254" s="125"/>
      <c r="L254" s="218"/>
      <c r="M254" s="218"/>
      <c r="N254" s="218"/>
      <c r="O254" s="218"/>
      <c r="P254" s="218"/>
    </row>
    <row r="255" spans="1:16" s="92" customFormat="1" ht="12.5">
      <c r="A255" s="218"/>
      <c r="B255" s="218"/>
      <c r="C255" s="31">
        <f t="shared" si="54"/>
        <v>2019</v>
      </c>
      <c r="D255" s="125">
        <f t="shared" si="60"/>
        <v>476247.11002905801</v>
      </c>
      <c r="E255" s="125">
        <f t="shared" si="60"/>
        <v>1469533.3031509025</v>
      </c>
      <c r="F255" s="125">
        <f t="shared" ref="F255" si="62">F228+F153</f>
        <v>2249758.3875162038</v>
      </c>
      <c r="G255" s="125">
        <f>G228+G153</f>
        <v>2792664.392</v>
      </c>
      <c r="H255" s="125"/>
      <c r="I255" s="125"/>
      <c r="J255" s="125"/>
      <c r="K255" s="125"/>
      <c r="L255" s="218"/>
      <c r="M255" s="218"/>
      <c r="N255" s="218"/>
      <c r="O255" s="218"/>
      <c r="P255" s="218"/>
    </row>
    <row r="256" spans="1:16" s="92" customFormat="1" ht="12.5">
      <c r="A256" s="218"/>
      <c r="B256" s="218"/>
      <c r="C256" s="31">
        <f t="shared" si="54"/>
        <v>2020</v>
      </c>
      <c r="D256" s="125">
        <f t="shared" si="60"/>
        <v>457457.10564214911</v>
      </c>
      <c r="E256" s="125">
        <f t="shared" si="60"/>
        <v>1369226.2824939149</v>
      </c>
      <c r="F256" s="125">
        <f>F229+F154</f>
        <v>2077929.321</v>
      </c>
      <c r="G256" s="125"/>
      <c r="H256" s="125"/>
      <c r="I256" s="125"/>
      <c r="J256" s="125"/>
      <c r="K256" s="125"/>
      <c r="L256" s="261"/>
      <c r="M256" s="218"/>
      <c r="N256" s="218"/>
      <c r="O256" s="218"/>
      <c r="P256" s="218"/>
    </row>
    <row r="257" spans="1:16" s="92" customFormat="1" ht="12.5">
      <c r="A257" s="218"/>
      <c r="B257" s="218"/>
      <c r="C257" s="31">
        <f t="shared" si="54"/>
        <v>2021</v>
      </c>
      <c r="D257" s="125">
        <f t="shared" si="60"/>
        <v>514485.47035556502</v>
      </c>
      <c r="E257" s="125">
        <f>E230+E155</f>
        <v>1517718.183</v>
      </c>
      <c r="F257" s="125"/>
      <c r="G257" s="125"/>
      <c r="H257" s="125"/>
      <c r="I257" s="125"/>
      <c r="J257" s="125"/>
      <c r="K257" s="125"/>
      <c r="L257" s="261"/>
      <c r="M257" s="218"/>
      <c r="N257" s="218"/>
      <c r="O257" s="218"/>
      <c r="P257" s="218"/>
    </row>
    <row r="258" spans="1:16" s="92" customFormat="1" ht="12.5">
      <c r="A258" s="218"/>
      <c r="B258" s="218"/>
      <c r="C258" s="31">
        <f t="shared" si="54"/>
        <v>2022</v>
      </c>
      <c r="D258" s="125">
        <f>D231+D156</f>
        <v>578534.36399999994</v>
      </c>
      <c r="E258" s="125"/>
      <c r="F258" s="125"/>
      <c r="G258" s="125"/>
      <c r="H258" s="125"/>
      <c r="I258" s="125"/>
      <c r="J258" s="125"/>
      <c r="K258" s="125"/>
      <c r="L258" s="261"/>
      <c r="M258" s="218"/>
      <c r="N258" s="218"/>
      <c r="O258" s="218"/>
      <c r="P258" s="218"/>
    </row>
    <row r="259" spans="1:16" s="92" customFormat="1" ht="12.5">
      <c r="A259" s="218"/>
      <c r="B259" s="218"/>
      <c r="C259" s="218"/>
      <c r="D259" s="125"/>
      <c r="E259" s="218"/>
      <c r="F259" s="125"/>
      <c r="G259" s="125"/>
      <c r="H259" s="218"/>
      <c r="I259" s="218"/>
      <c r="J259" s="218"/>
      <c r="K259" s="218"/>
      <c r="L259" s="218"/>
      <c r="M259" s="218"/>
      <c r="N259" s="218"/>
      <c r="O259" s="218"/>
      <c r="P259" s="218"/>
    </row>
    <row r="260" spans="1:16" s="92" customFormat="1" ht="12.5">
      <c r="A260" s="118"/>
      <c r="B260" s="118" t="s">
        <v>258</v>
      </c>
      <c r="C260" s="118"/>
      <c r="D260" s="118"/>
      <c r="E260" s="118"/>
      <c r="F260" s="118"/>
      <c r="G260" s="118"/>
      <c r="H260" s="118"/>
      <c r="I260" s="118"/>
      <c r="J260" s="118"/>
      <c r="K260" s="117"/>
      <c r="L260" s="218"/>
      <c r="M260" s="218"/>
      <c r="N260" s="218"/>
      <c r="O260" s="218"/>
      <c r="P260" s="218"/>
    </row>
    <row r="261" spans="1:16" s="92" customFormat="1" ht="12.5">
      <c r="A261" s="218"/>
      <c r="B261" s="218"/>
      <c r="C261" s="218"/>
      <c r="D261" s="218"/>
      <c r="E261" s="218"/>
      <c r="F261" s="218"/>
      <c r="G261" s="218"/>
      <c r="H261" s="218"/>
      <c r="I261" s="218"/>
      <c r="J261" s="218"/>
      <c r="K261" s="218"/>
      <c r="L261" s="218"/>
      <c r="M261" s="218"/>
      <c r="N261" s="218"/>
      <c r="O261" s="218"/>
      <c r="P261" s="218"/>
    </row>
    <row r="262" spans="1:16" s="92" customFormat="1" ht="12.5">
      <c r="A262" s="218"/>
      <c r="B262" s="218"/>
      <c r="C262" s="31" t="s">
        <v>192</v>
      </c>
      <c r="D262" s="509" t="s">
        <v>287</v>
      </c>
      <c r="E262" s="509"/>
      <c r="F262" s="509"/>
      <c r="G262" s="509"/>
      <c r="H262" s="509"/>
      <c r="I262" s="509"/>
      <c r="J262" s="218"/>
      <c r="K262" s="218"/>
      <c r="L262" s="218"/>
      <c r="M262" s="218"/>
      <c r="N262" s="218"/>
      <c r="O262" s="218"/>
      <c r="P262" s="218"/>
    </row>
    <row r="263" spans="1:16" s="92" customFormat="1" ht="12.5">
      <c r="A263" s="218"/>
      <c r="B263" s="218"/>
      <c r="C263" s="33" t="s">
        <v>8</v>
      </c>
      <c r="D263" s="70" t="str">
        <f t="shared" ref="D263:I263" si="63">+D247&amp;"-"&amp;E247</f>
        <v>12-24</v>
      </c>
      <c r="E263" s="70" t="str">
        <f t="shared" si="63"/>
        <v>24-36</v>
      </c>
      <c r="F263" s="70" t="str">
        <f t="shared" si="63"/>
        <v>36-48</v>
      </c>
      <c r="G263" s="70" t="str">
        <f t="shared" si="63"/>
        <v>48-60</v>
      </c>
      <c r="H263" s="70" t="str">
        <f t="shared" si="63"/>
        <v>60-72</v>
      </c>
      <c r="I263" s="70" t="str">
        <f t="shared" si="63"/>
        <v>72-84</v>
      </c>
      <c r="J263" s="218"/>
      <c r="K263" s="218"/>
      <c r="L263" s="218"/>
      <c r="M263" s="218"/>
      <c r="N263" s="218"/>
      <c r="O263" s="218"/>
      <c r="P263" s="218"/>
    </row>
    <row r="264" spans="1:16" s="92" customFormat="1" ht="4.5" customHeight="1">
      <c r="A264" s="218"/>
      <c r="B264" s="218"/>
      <c r="C264" s="218"/>
      <c r="D264" s="218"/>
      <c r="E264" s="218"/>
      <c r="F264" s="218"/>
      <c r="G264" s="218"/>
      <c r="H264" s="218"/>
      <c r="I264" s="218"/>
      <c r="J264" s="218"/>
      <c r="K264" s="218"/>
      <c r="L264" s="218"/>
      <c r="M264" s="218"/>
      <c r="N264" s="218"/>
      <c r="O264" s="218"/>
      <c r="P264" s="218"/>
    </row>
    <row r="265" spans="1:16" s="92" customFormat="1" ht="12.5">
      <c r="A265" s="218"/>
      <c r="B265" s="218"/>
      <c r="C265" s="31">
        <f t="shared" ref="C265:C273" si="64">+C249</f>
        <v>2013</v>
      </c>
      <c r="D265" s="163"/>
      <c r="E265" s="163"/>
      <c r="F265" s="163"/>
      <c r="G265" s="163"/>
      <c r="H265" s="163"/>
      <c r="I265" s="163"/>
      <c r="J265" s="218"/>
      <c r="K265" s="218"/>
      <c r="L265" s="218"/>
      <c r="M265" s="218"/>
      <c r="N265" s="218"/>
      <c r="O265" s="218"/>
      <c r="P265" s="218"/>
    </row>
    <row r="266" spans="1:16" s="92" customFormat="1" ht="12.5">
      <c r="A266" s="218"/>
      <c r="B266" s="218"/>
      <c r="C266" s="31">
        <f t="shared" si="64"/>
        <v>2014</v>
      </c>
      <c r="D266" s="163"/>
      <c r="E266" s="163"/>
      <c r="F266" s="163"/>
      <c r="G266" s="163"/>
      <c r="H266" s="163"/>
      <c r="I266" s="425">
        <f t="shared" ref="D266:I273" si="65">J250/I250</f>
        <v>1.0352284297265466</v>
      </c>
      <c r="J266" s="218"/>
      <c r="K266" s="218"/>
      <c r="L266" s="218"/>
      <c r="M266" s="218"/>
      <c r="N266" s="218"/>
      <c r="O266" s="218"/>
      <c r="P266" s="218"/>
    </row>
    <row r="267" spans="1:16" s="92" customFormat="1" ht="12.5">
      <c r="A267" s="218"/>
      <c r="B267" s="218"/>
      <c r="C267" s="31">
        <f t="shared" si="64"/>
        <v>2015</v>
      </c>
      <c r="D267" s="163"/>
      <c r="E267" s="163"/>
      <c r="F267" s="163"/>
      <c r="G267" s="163"/>
      <c r="H267" s="425">
        <f t="shared" si="65"/>
        <v>1.0613485292460123</v>
      </c>
      <c r="I267" s="425">
        <f t="shared" si="65"/>
        <v>1.0401306490033624</v>
      </c>
      <c r="J267" s="218"/>
      <c r="K267" s="218"/>
      <c r="L267" s="218"/>
      <c r="M267" s="218"/>
      <c r="N267" s="218"/>
      <c r="O267" s="218"/>
      <c r="P267" s="218"/>
    </row>
    <row r="268" spans="1:16" s="92" customFormat="1" ht="12.5">
      <c r="A268" s="218"/>
      <c r="B268" s="218"/>
      <c r="C268" s="31">
        <f t="shared" si="64"/>
        <v>2016</v>
      </c>
      <c r="D268" s="163"/>
      <c r="E268" s="163"/>
      <c r="F268" s="163"/>
      <c r="G268" s="425">
        <f t="shared" si="65"/>
        <v>1.1178158806255656</v>
      </c>
      <c r="H268" s="425">
        <f t="shared" si="65"/>
        <v>1.0650247915357007</v>
      </c>
      <c r="I268" s="425">
        <f t="shared" si="65"/>
        <v>1.0416278800941554</v>
      </c>
      <c r="J268" s="218"/>
      <c r="K268" s="218"/>
      <c r="L268" s="218"/>
      <c r="M268" s="218"/>
      <c r="N268" s="218"/>
      <c r="O268" s="218"/>
      <c r="P268" s="218"/>
    </row>
    <row r="269" spans="1:16" s="92" customFormat="1" ht="12.5">
      <c r="A269" s="218"/>
      <c r="B269" s="218"/>
      <c r="C269" s="31">
        <f t="shared" si="64"/>
        <v>2017</v>
      </c>
      <c r="D269" s="163"/>
      <c r="E269" s="163"/>
      <c r="F269" s="425">
        <f t="shared" si="65"/>
        <v>1.2347453773890034</v>
      </c>
      <c r="G269" s="425">
        <f t="shared" si="65"/>
        <v>1.1258952748294728</v>
      </c>
      <c r="H269" s="425">
        <f t="shared" si="65"/>
        <v>1.0698515812313605</v>
      </c>
      <c r="I269" s="163"/>
      <c r="J269" s="218"/>
      <c r="K269" s="218"/>
      <c r="L269" s="218"/>
      <c r="M269" s="218"/>
      <c r="N269" s="218"/>
      <c r="O269" s="218"/>
      <c r="P269" s="218"/>
    </row>
    <row r="270" spans="1:16" s="92" customFormat="1" ht="12.5">
      <c r="A270" s="218"/>
      <c r="B270" s="218"/>
      <c r="C270" s="31">
        <f t="shared" si="64"/>
        <v>2018</v>
      </c>
      <c r="D270" s="163"/>
      <c r="E270" s="425">
        <f t="shared" si="65"/>
        <v>1.4974093661289101</v>
      </c>
      <c r="F270" s="425">
        <f t="shared" si="65"/>
        <v>1.2421368186401798</v>
      </c>
      <c r="G270" s="425">
        <f t="shared" si="65"/>
        <v>1.1234613925603025</v>
      </c>
      <c r="H270" s="163"/>
      <c r="I270" s="163"/>
      <c r="J270" s="218"/>
      <c r="K270" s="218"/>
      <c r="L270" s="218"/>
      <c r="M270" s="218"/>
      <c r="N270" s="218"/>
      <c r="O270" s="218"/>
      <c r="P270" s="218"/>
    </row>
    <row r="271" spans="1:16" s="92" customFormat="1" ht="12.5">
      <c r="A271" s="218"/>
      <c r="B271" s="218"/>
      <c r="C271" s="31">
        <f t="shared" si="64"/>
        <v>2019</v>
      </c>
      <c r="D271" s="425">
        <f t="shared" si="65"/>
        <v>3.0856529566368174</v>
      </c>
      <c r="E271" s="425">
        <f t="shared" si="65"/>
        <v>1.5309339248674259</v>
      </c>
      <c r="F271" s="425">
        <f t="shared" si="65"/>
        <v>1.2413174710210457</v>
      </c>
      <c r="G271" s="163"/>
      <c r="H271" s="163"/>
      <c r="I271" s="163"/>
      <c r="J271" s="218"/>
      <c r="K271" s="218"/>
      <c r="L271" s="192"/>
      <c r="M271" s="218"/>
      <c r="N271" s="218"/>
      <c r="O271" s="218"/>
      <c r="P271" s="218"/>
    </row>
    <row r="272" spans="1:16" s="92" customFormat="1" ht="12.5">
      <c r="A272" s="218"/>
      <c r="B272" s="218"/>
      <c r="C272" s="31">
        <f t="shared" si="64"/>
        <v>2020</v>
      </c>
      <c r="D272" s="425">
        <f t="shared" si="65"/>
        <v>2.9931249632069492</v>
      </c>
      <c r="E272" s="425">
        <f t="shared" si="65"/>
        <v>1.5175938028411564</v>
      </c>
      <c r="F272" s="163"/>
      <c r="G272" s="163"/>
      <c r="H272" s="163"/>
      <c r="I272" s="163"/>
      <c r="J272" s="218"/>
      <c r="K272" s="218"/>
      <c r="L272" s="192"/>
      <c r="M272" s="218"/>
      <c r="N272" s="218"/>
      <c r="O272" s="218"/>
      <c r="P272" s="218"/>
    </row>
    <row r="273" spans="1:16" s="92" customFormat="1" ht="12.5">
      <c r="A273" s="218"/>
      <c r="B273" s="218"/>
      <c r="C273" s="31">
        <f t="shared" si="64"/>
        <v>2021</v>
      </c>
      <c r="D273" s="425">
        <f t="shared" si="65"/>
        <v>2.9499728766899729</v>
      </c>
      <c r="E273" s="218"/>
      <c r="F273" s="163"/>
      <c r="G273" s="163"/>
      <c r="H273" s="163"/>
      <c r="I273" s="163"/>
      <c r="J273" s="218"/>
      <c r="K273" s="218"/>
      <c r="L273" s="192"/>
      <c r="M273" s="218"/>
      <c r="N273" s="218"/>
      <c r="O273" s="218"/>
      <c r="P273" s="218"/>
    </row>
    <row r="274" spans="1:16" s="92" customFormat="1" ht="12.5">
      <c r="A274" s="218"/>
      <c r="B274" s="218"/>
      <c r="C274" s="31"/>
      <c r="D274" s="218"/>
      <c r="E274" s="218"/>
      <c r="F274" s="218"/>
      <c r="G274" s="218"/>
      <c r="H274" s="218"/>
      <c r="I274" s="218"/>
      <c r="J274" s="218"/>
      <c r="K274" s="218"/>
      <c r="L274" s="218"/>
      <c r="M274" s="218"/>
      <c r="N274" s="218"/>
      <c r="O274" s="218"/>
      <c r="P274" s="218"/>
    </row>
    <row r="275" spans="1:16" s="92" customFormat="1" ht="12.5">
      <c r="A275" s="218"/>
      <c r="B275" s="218"/>
      <c r="C275" s="218" t="s">
        <v>244</v>
      </c>
      <c r="D275" s="425">
        <f>D273</f>
        <v>2.9499728766899729</v>
      </c>
      <c r="E275" s="425">
        <f>E272</f>
        <v>1.5175938028411564</v>
      </c>
      <c r="F275" s="425">
        <f>F271</f>
        <v>1.2413174710210457</v>
      </c>
      <c r="G275" s="425">
        <f>G270</f>
        <v>1.1234613925603025</v>
      </c>
      <c r="H275" s="425">
        <f>H269</f>
        <v>1.0698515812313605</v>
      </c>
      <c r="I275" s="425">
        <f>I268</f>
        <v>1.0416278800941554</v>
      </c>
      <c r="J275" s="218"/>
      <c r="K275" s="218"/>
      <c r="L275" s="218"/>
      <c r="M275" s="218"/>
      <c r="N275" s="218"/>
      <c r="O275" s="218"/>
      <c r="P275" s="218"/>
    </row>
    <row r="276" spans="1:16" s="92" customFormat="1" ht="12.5">
      <c r="A276" s="218"/>
      <c r="B276" s="218"/>
      <c r="C276" s="218" t="s">
        <v>259</v>
      </c>
      <c r="D276" s="425">
        <f>AVERAGE(D271:D273)</f>
        <v>3.0095835988445798</v>
      </c>
      <c r="E276" s="425">
        <f>AVERAGE(E270:E272)</f>
        <v>1.5153123646124975</v>
      </c>
      <c r="F276" s="425">
        <f>AVERAGE(F269:F271)</f>
        <v>1.2393998890167428</v>
      </c>
      <c r="G276" s="425">
        <f>AVERAGE(G268:G270)</f>
        <v>1.1223908493384469</v>
      </c>
      <c r="H276" s="425">
        <f>AVERAGE(H267:H269)</f>
        <v>1.0654083006710247</v>
      </c>
      <c r="I276" s="425">
        <f>AVERAGE(I266:I268)</f>
        <v>1.0389956529413549</v>
      </c>
      <c r="J276" s="218"/>
      <c r="K276" s="218"/>
      <c r="L276" s="218"/>
      <c r="M276" s="218"/>
      <c r="N276" s="218"/>
      <c r="O276" s="218"/>
      <c r="P276" s="218"/>
    </row>
    <row r="277" spans="1:16" s="92" customFormat="1" ht="12.5">
      <c r="A277" s="218"/>
      <c r="B277" s="218"/>
      <c r="C277" s="218"/>
      <c r="D277" s="218"/>
      <c r="E277" s="218"/>
      <c r="F277" s="218"/>
      <c r="G277" s="218"/>
      <c r="H277" s="218"/>
      <c r="I277" s="218"/>
      <c r="J277" s="218"/>
      <c r="K277" s="218"/>
      <c r="L277" s="218"/>
      <c r="M277" s="218"/>
      <c r="N277" s="218"/>
      <c r="O277" s="218"/>
      <c r="P277" s="218"/>
    </row>
    <row r="278" spans="1:16" s="92" customFormat="1" ht="12.5">
      <c r="A278" s="118"/>
      <c r="B278" s="118" t="s">
        <v>297</v>
      </c>
      <c r="C278" s="118"/>
      <c r="D278" s="118"/>
      <c r="E278" s="118"/>
      <c r="F278" s="118"/>
      <c r="G278" s="118"/>
      <c r="H278" s="118"/>
      <c r="I278" s="118"/>
      <c r="J278" s="118"/>
      <c r="K278" s="117"/>
      <c r="L278" s="218"/>
      <c r="M278" s="218"/>
      <c r="N278" s="218"/>
      <c r="O278" s="218"/>
      <c r="P278" s="218"/>
    </row>
    <row r="279" spans="1:16" s="92" customFormat="1" ht="12.5">
      <c r="A279" s="218"/>
      <c r="B279" s="218"/>
      <c r="C279" s="218"/>
      <c r="D279" s="218"/>
      <c r="E279" s="218"/>
      <c r="F279" s="218"/>
      <c r="G279" s="218"/>
      <c r="H279" s="218"/>
      <c r="I279" s="218"/>
      <c r="J279" s="218"/>
      <c r="K279" s="218"/>
      <c r="L279" s="218"/>
      <c r="M279" s="218"/>
      <c r="N279" s="218"/>
      <c r="O279" s="218"/>
      <c r="P279" s="218"/>
    </row>
    <row r="280" spans="1:16" s="92" customFormat="1" ht="12.5">
      <c r="A280" s="218"/>
      <c r="B280" s="218"/>
      <c r="C280" s="31" t="s">
        <v>192</v>
      </c>
      <c r="D280" s="509" t="s">
        <v>287</v>
      </c>
      <c r="E280" s="509"/>
      <c r="F280" s="509"/>
      <c r="G280" s="509"/>
      <c r="H280" s="509"/>
      <c r="I280" s="509"/>
      <c r="J280" s="218"/>
      <c r="K280" s="218"/>
      <c r="L280" s="218"/>
      <c r="M280" s="218"/>
      <c r="N280" s="218"/>
      <c r="O280" s="218"/>
      <c r="P280" s="218"/>
    </row>
    <row r="281" spans="1:16" s="92" customFormat="1" ht="12.5">
      <c r="A281" s="218"/>
      <c r="B281" s="218"/>
      <c r="C281" s="33" t="s">
        <v>8</v>
      </c>
      <c r="D281" s="70" t="str">
        <f t="shared" ref="D281:I281" si="66">+D263</f>
        <v>12-24</v>
      </c>
      <c r="E281" s="70" t="str">
        <f t="shared" si="66"/>
        <v>24-36</v>
      </c>
      <c r="F281" s="70" t="str">
        <f t="shared" si="66"/>
        <v>36-48</v>
      </c>
      <c r="G281" s="70" t="str">
        <f t="shared" si="66"/>
        <v>48-60</v>
      </c>
      <c r="H281" s="70" t="str">
        <f t="shared" si="66"/>
        <v>60-72</v>
      </c>
      <c r="I281" s="70" t="str">
        <f t="shared" si="66"/>
        <v>72-84</v>
      </c>
      <c r="J281" s="218"/>
      <c r="K281" s="218"/>
      <c r="L281" s="218"/>
      <c r="M281" s="218"/>
      <c r="N281" s="218"/>
      <c r="O281" s="218"/>
      <c r="P281" s="218"/>
    </row>
    <row r="282" spans="1:16" s="92" customFormat="1" ht="4.5" customHeight="1">
      <c r="A282" s="218"/>
      <c r="B282" s="218"/>
      <c r="C282" s="218"/>
      <c r="D282" s="218"/>
      <c r="E282" s="218"/>
      <c r="F282" s="218"/>
      <c r="G282" s="218"/>
      <c r="H282" s="218"/>
      <c r="I282" s="218"/>
      <c r="J282" s="218"/>
      <c r="K282" s="218"/>
      <c r="L282" s="218"/>
      <c r="M282" s="218"/>
      <c r="N282" s="218"/>
      <c r="O282" s="218"/>
      <c r="P282" s="218"/>
    </row>
    <row r="283" spans="1:16" s="92" customFormat="1" ht="12.5">
      <c r="A283" s="218"/>
      <c r="B283" s="218"/>
      <c r="C283" s="31">
        <f t="shared" ref="C283:C290" si="67">+C250</f>
        <v>2014</v>
      </c>
      <c r="D283" s="426"/>
      <c r="E283" s="426"/>
      <c r="F283" s="426"/>
      <c r="G283" s="426"/>
      <c r="H283" s="426"/>
      <c r="I283" s="426">
        <v>1.038682488344965</v>
      </c>
      <c r="J283" s="218"/>
      <c r="K283" s="218"/>
      <c r="L283" s="218"/>
      <c r="M283" s="218"/>
      <c r="N283" s="218"/>
      <c r="O283" s="218"/>
      <c r="P283" s="218"/>
    </row>
    <row r="284" spans="1:16" s="92" customFormat="1" ht="12.5">
      <c r="A284" s="218"/>
      <c r="B284" s="218"/>
      <c r="C284" s="31">
        <f t="shared" si="67"/>
        <v>2015</v>
      </c>
      <c r="D284" s="426"/>
      <c r="E284" s="426"/>
      <c r="F284" s="426"/>
      <c r="G284" s="426"/>
      <c r="H284" s="426">
        <v>1.0580285125170936</v>
      </c>
      <c r="I284" s="426">
        <v>1.0419256546147437</v>
      </c>
      <c r="J284" s="218"/>
      <c r="K284" s="218"/>
      <c r="L284" s="218"/>
      <c r="M284" s="218"/>
      <c r="N284" s="218"/>
      <c r="O284" s="218"/>
      <c r="P284" s="218"/>
    </row>
    <row r="285" spans="1:16" s="92" customFormat="1" ht="12.5">
      <c r="A285" s="218"/>
      <c r="B285" s="218"/>
      <c r="C285" s="31">
        <f t="shared" si="67"/>
        <v>2016</v>
      </c>
      <c r="D285" s="426"/>
      <c r="E285" s="426"/>
      <c r="F285" s="426"/>
      <c r="G285" s="426">
        <v>1.1026309360797568</v>
      </c>
      <c r="H285" s="426">
        <v>1.0604317583578082</v>
      </c>
      <c r="I285" s="426">
        <v>1.0426741052657134</v>
      </c>
      <c r="J285" s="218"/>
      <c r="K285" s="218"/>
      <c r="L285" s="218"/>
      <c r="M285" s="218"/>
      <c r="N285" s="218"/>
      <c r="O285" s="218"/>
      <c r="P285" s="218"/>
    </row>
    <row r="286" spans="1:16" s="92" customFormat="1" ht="12.5">
      <c r="A286" s="218"/>
      <c r="B286" s="218"/>
      <c r="C286" s="31">
        <f t="shared" si="67"/>
        <v>2017</v>
      </c>
      <c r="D286" s="426"/>
      <c r="E286" s="426"/>
      <c r="F286" s="426">
        <v>1.2095774119865585</v>
      </c>
      <c r="G286" s="426">
        <v>1.1093674039391657</v>
      </c>
      <c r="H286" s="426">
        <v>1.0650123304958834</v>
      </c>
      <c r="I286" s="426"/>
      <c r="J286" s="218"/>
      <c r="K286" s="218"/>
      <c r="L286" s="218"/>
      <c r="M286" s="218"/>
      <c r="N286" s="218"/>
      <c r="O286" s="218"/>
      <c r="P286" s="218"/>
    </row>
    <row r="287" spans="1:16" s="92" customFormat="1" ht="12.5">
      <c r="A287" s="218"/>
      <c r="B287" s="218"/>
      <c r="C287" s="31">
        <f t="shared" si="67"/>
        <v>2018</v>
      </c>
      <c r="D287" s="426"/>
      <c r="E287" s="426">
        <v>1.5259756490031882</v>
      </c>
      <c r="F287" s="426">
        <v>1.2220486447224781</v>
      </c>
      <c r="G287" s="426">
        <v>1.1125323430781444</v>
      </c>
      <c r="H287" s="426"/>
      <c r="I287" s="426"/>
      <c r="J287" s="218"/>
      <c r="K287" s="218"/>
      <c r="L287" s="218"/>
      <c r="M287" s="218"/>
      <c r="N287" s="218"/>
      <c r="O287" s="218"/>
      <c r="P287" s="218"/>
    </row>
    <row r="288" spans="1:16" s="92" customFormat="1" ht="12.5">
      <c r="A288" s="218"/>
      <c r="B288" s="218"/>
      <c r="C288" s="31">
        <f t="shared" si="67"/>
        <v>2019</v>
      </c>
      <c r="D288" s="426">
        <v>3.0628532247126814</v>
      </c>
      <c r="E288" s="426">
        <v>1.549328145668597</v>
      </c>
      <c r="F288" s="426">
        <v>1.2397991758281615</v>
      </c>
      <c r="G288" s="426"/>
      <c r="H288" s="426"/>
      <c r="I288" s="426"/>
      <c r="J288" s="218"/>
      <c r="K288" s="218"/>
      <c r="L288" s="44"/>
      <c r="M288" s="218"/>
      <c r="N288" s="218"/>
      <c r="O288" s="218"/>
      <c r="P288" s="218"/>
    </row>
    <row r="289" spans="1:16" s="92" customFormat="1" ht="12.5">
      <c r="A289" s="218"/>
      <c r="B289" s="218"/>
      <c r="C289" s="31">
        <f t="shared" si="67"/>
        <v>2020</v>
      </c>
      <c r="D289" s="426">
        <v>2.9592878922748009</v>
      </c>
      <c r="E289" s="426">
        <v>1.5441111134317327</v>
      </c>
      <c r="F289" s="426"/>
      <c r="G289" s="426"/>
      <c r="H289" s="426"/>
      <c r="I289" s="426"/>
      <c r="J289" s="218"/>
      <c r="K289" s="218"/>
      <c r="L289" s="44"/>
      <c r="M289" s="218"/>
      <c r="N289" s="218"/>
      <c r="O289" s="218"/>
      <c r="P289" s="218"/>
    </row>
    <row r="290" spans="1:16" s="92" customFormat="1" ht="12.5">
      <c r="A290" s="218"/>
      <c r="B290" s="218"/>
      <c r="C290" s="31">
        <f t="shared" si="67"/>
        <v>2021</v>
      </c>
      <c r="D290" s="426">
        <v>2.952886090741758</v>
      </c>
      <c r="E290" s="426"/>
      <c r="F290" s="426"/>
      <c r="G290" s="426"/>
      <c r="H290" s="426"/>
      <c r="I290" s="426"/>
      <c r="J290" s="218"/>
      <c r="K290" s="218"/>
      <c r="L290" s="44"/>
      <c r="M290" s="218"/>
      <c r="N290" s="218"/>
      <c r="O290" s="218"/>
      <c r="P290" s="218"/>
    </row>
    <row r="291" spans="1:16" s="92" customFormat="1" ht="12.5">
      <c r="A291" s="218"/>
      <c r="B291" s="218"/>
      <c r="C291" s="31"/>
      <c r="D291" s="163"/>
      <c r="E291" s="218"/>
      <c r="F291" s="163"/>
      <c r="G291" s="163"/>
      <c r="H291" s="218"/>
      <c r="I291" s="218"/>
      <c r="J291" s="218"/>
      <c r="K291" s="218"/>
      <c r="L291" s="218"/>
      <c r="M291" s="218"/>
      <c r="N291" s="218"/>
      <c r="O291" s="218"/>
      <c r="P291" s="218"/>
    </row>
    <row r="292" spans="1:16" s="176" customFormat="1" ht="12.5">
      <c r="A292" s="218"/>
      <c r="B292" s="218"/>
      <c r="C292" s="31"/>
      <c r="D292" s="163"/>
      <c r="E292" s="218"/>
      <c r="F292" s="163"/>
      <c r="G292" s="163"/>
      <c r="H292" s="218"/>
      <c r="I292" s="218"/>
      <c r="J292" s="218"/>
      <c r="K292" s="218"/>
      <c r="L292" s="218"/>
      <c r="M292" s="218"/>
      <c r="N292" s="218"/>
      <c r="O292" s="218"/>
      <c r="P292" s="218"/>
    </row>
    <row r="293" spans="1:16" s="176" customFormat="1" ht="12.5">
      <c r="A293" s="218"/>
      <c r="B293" s="218"/>
      <c r="C293" s="31"/>
      <c r="D293" s="163"/>
      <c r="E293" s="218"/>
      <c r="F293" s="163"/>
      <c r="G293" s="163"/>
      <c r="H293" s="218"/>
      <c r="I293" s="218"/>
      <c r="J293" s="218"/>
      <c r="K293" s="218"/>
      <c r="L293" s="218"/>
      <c r="M293" s="218"/>
      <c r="N293" s="218"/>
      <c r="O293" s="218"/>
      <c r="P293" s="218"/>
    </row>
    <row r="294" spans="1:16" s="92" customFormat="1" ht="26.25" customHeight="1">
      <c r="A294" s="46" t="s">
        <v>167</v>
      </c>
      <c r="B294" s="510" t="s">
        <v>260</v>
      </c>
      <c r="C294" s="510"/>
      <c r="D294" s="510"/>
      <c r="E294" s="510"/>
      <c r="F294" s="510"/>
      <c r="G294" s="510"/>
      <c r="H294" s="510"/>
      <c r="I294" s="510"/>
      <c r="J294" s="510"/>
      <c r="K294" s="510"/>
      <c r="L294" s="251"/>
      <c r="M294" s="218"/>
      <c r="N294" s="218"/>
      <c r="O294" s="218"/>
      <c r="P294" s="218"/>
    </row>
    <row r="295" spans="1:16" s="92" customFormat="1" ht="37.5" customHeight="1">
      <c r="A295" s="46" t="s">
        <v>98</v>
      </c>
      <c r="B295" s="510" t="s">
        <v>261</v>
      </c>
      <c r="C295" s="510"/>
      <c r="D295" s="510"/>
      <c r="E295" s="510"/>
      <c r="F295" s="510"/>
      <c r="G295" s="510"/>
      <c r="H295" s="510"/>
      <c r="I295" s="510"/>
      <c r="J295" s="510"/>
      <c r="K295" s="510"/>
      <c r="L295" s="251"/>
      <c r="M295" s="218"/>
      <c r="N295" s="218"/>
      <c r="O295" s="218"/>
      <c r="P295" s="218"/>
    </row>
    <row r="296" spans="1:16" s="92" customFormat="1" ht="12.5">
      <c r="A296" s="218"/>
      <c r="B296" s="218"/>
      <c r="C296" s="218"/>
      <c r="D296" s="218"/>
      <c r="E296" s="218"/>
      <c r="F296" s="218"/>
      <c r="G296" s="218"/>
      <c r="H296" s="218"/>
      <c r="I296" s="218"/>
      <c r="J296" s="218"/>
      <c r="K296" s="218"/>
      <c r="L296" s="218"/>
      <c r="M296" s="218"/>
      <c r="N296" s="218"/>
      <c r="O296" s="218"/>
      <c r="P296" s="218"/>
    </row>
    <row r="297" spans="1:16" s="92" customFormat="1" ht="12.5">
      <c r="A297" s="218"/>
      <c r="B297" s="108" t="s">
        <v>420</v>
      </c>
      <c r="C297" s="41"/>
      <c r="D297" s="41"/>
      <c r="E297" s="41"/>
      <c r="F297" s="41"/>
      <c r="G297" s="41"/>
      <c r="H297" s="41"/>
      <c r="I297" s="41"/>
      <c r="J297" s="41"/>
      <c r="K297" s="218"/>
      <c r="L297" s="218"/>
      <c r="M297" s="218"/>
      <c r="N297" s="218"/>
      <c r="O297" s="218"/>
      <c r="P297" s="218"/>
    </row>
    <row r="298" spans="1:16" s="93" customFormat="1" ht="45" customHeight="1">
      <c r="A298" s="110"/>
      <c r="B298" s="110"/>
      <c r="C298" s="110"/>
      <c r="D298" s="110"/>
      <c r="E298" s="110"/>
      <c r="F298" s="110"/>
      <c r="G298" s="110"/>
      <c r="H298" s="110"/>
      <c r="I298" s="110"/>
      <c r="J298" s="110"/>
      <c r="K298" s="110"/>
      <c r="L298" s="46" t="s">
        <v>355</v>
      </c>
      <c r="M298" s="258"/>
      <c r="N298" s="258"/>
      <c r="O298" s="258"/>
      <c r="P298" s="258"/>
    </row>
    <row r="299" spans="1:16" s="92" customFormat="1" ht="13">
      <c r="A299" s="122" t="s">
        <v>31</v>
      </c>
      <c r="B299" s="122"/>
      <c r="C299" s="122"/>
      <c r="D299" s="122"/>
      <c r="E299" s="122"/>
      <c r="F299" s="122"/>
      <c r="G299" s="122"/>
      <c r="H299" s="122"/>
      <c r="I299" s="122"/>
      <c r="J299" s="122"/>
      <c r="K299" s="122"/>
      <c r="L299" s="122"/>
      <c r="M299" s="248"/>
      <c r="N299" s="218"/>
      <c r="O299" s="218"/>
      <c r="P299" s="218"/>
    </row>
    <row r="300" spans="1:16" s="92" customFormat="1" ht="13">
      <c r="A300" s="122" t="s">
        <v>240</v>
      </c>
      <c r="B300" s="122"/>
      <c r="C300" s="122"/>
      <c r="D300" s="122"/>
      <c r="E300" s="122"/>
      <c r="F300" s="122"/>
      <c r="G300" s="122"/>
      <c r="H300" s="122"/>
      <c r="I300" s="122"/>
      <c r="J300" s="122"/>
      <c r="K300" s="122"/>
      <c r="L300" s="122"/>
      <c r="M300" s="248"/>
      <c r="N300" s="218"/>
      <c r="O300" s="218"/>
      <c r="P300" s="218"/>
    </row>
    <row r="301" spans="1:16" s="92" customFormat="1" ht="13">
      <c r="A301" s="122" t="s">
        <v>241</v>
      </c>
      <c r="B301" s="122"/>
      <c r="C301" s="122"/>
      <c r="D301" s="122"/>
      <c r="E301" s="122"/>
      <c r="F301" s="122"/>
      <c r="G301" s="122"/>
      <c r="H301" s="122"/>
      <c r="I301" s="122"/>
      <c r="J301" s="122"/>
      <c r="K301" s="122"/>
      <c r="L301" s="122"/>
      <c r="M301" s="248"/>
      <c r="N301" s="218"/>
      <c r="O301" s="218"/>
      <c r="P301" s="218"/>
    </row>
    <row r="302" spans="1:16" s="92" customFormat="1" ht="12.65" customHeight="1">
      <c r="A302" s="248"/>
      <c r="B302" s="248"/>
      <c r="C302" s="248"/>
      <c r="D302" s="248"/>
      <c r="E302" s="248"/>
      <c r="F302" s="248"/>
      <c r="G302" s="248"/>
      <c r="H302" s="248"/>
      <c r="I302" s="248"/>
      <c r="J302" s="248"/>
      <c r="K302" s="248"/>
      <c r="L302" s="248"/>
      <c r="M302" s="248"/>
      <c r="N302" s="218"/>
      <c r="O302" s="218"/>
      <c r="P302" s="218"/>
    </row>
    <row r="303" spans="1:16" s="92" customFormat="1" ht="12.65" customHeight="1">
      <c r="A303" s="218"/>
      <c r="B303" s="218"/>
      <c r="C303" s="218"/>
      <c r="D303" s="218"/>
      <c r="E303" s="218"/>
      <c r="F303" s="218"/>
      <c r="G303" s="218"/>
      <c r="H303" s="218"/>
      <c r="I303" s="218"/>
      <c r="J303" s="218"/>
      <c r="K303" s="218"/>
      <c r="L303" s="218"/>
      <c r="M303" s="218"/>
      <c r="N303" s="218"/>
      <c r="O303" s="218"/>
      <c r="P303" s="218"/>
    </row>
    <row r="304" spans="1:16" s="92" customFormat="1" ht="32.15" customHeight="1">
      <c r="A304" s="118"/>
      <c r="B304" s="118" t="s">
        <v>298</v>
      </c>
      <c r="C304" s="118"/>
      <c r="D304" s="118"/>
      <c r="E304" s="118"/>
      <c r="F304" s="118"/>
      <c r="G304" s="118"/>
      <c r="H304" s="118"/>
      <c r="I304" s="118"/>
      <c r="J304" s="218"/>
      <c r="K304" s="218"/>
      <c r="L304" s="218"/>
      <c r="M304" s="218"/>
      <c r="N304" s="218"/>
      <c r="O304" s="218"/>
      <c r="P304" s="218"/>
    </row>
    <row r="305" spans="1:16" s="92" customFormat="1" ht="28.4" customHeight="1">
      <c r="A305" s="218"/>
      <c r="B305" s="218"/>
      <c r="C305" s="218"/>
      <c r="D305" s="218"/>
      <c r="E305" s="218"/>
      <c r="F305" s="218"/>
      <c r="G305" s="218"/>
      <c r="H305" s="218"/>
      <c r="I305" s="218"/>
      <c r="J305" s="218"/>
      <c r="K305" s="218"/>
      <c r="L305" s="218"/>
      <c r="M305" s="218"/>
      <c r="N305" s="218"/>
      <c r="O305" s="218"/>
      <c r="P305" s="218"/>
    </row>
    <row r="306" spans="1:16" s="92" customFormat="1" ht="12.5">
      <c r="A306" s="218"/>
      <c r="B306" s="218"/>
      <c r="C306" s="31" t="s">
        <v>192</v>
      </c>
      <c r="D306" s="509" t="s">
        <v>287</v>
      </c>
      <c r="E306" s="509"/>
      <c r="F306" s="509"/>
      <c r="G306" s="509"/>
      <c r="H306" s="509"/>
      <c r="I306" s="509"/>
      <c r="J306" s="250"/>
      <c r="K306" s="250"/>
      <c r="L306" s="218"/>
      <c r="M306" s="218"/>
      <c r="N306" s="218"/>
      <c r="O306" s="218"/>
      <c r="P306" s="218"/>
    </row>
    <row r="307" spans="1:16" s="92" customFormat="1" ht="12.5">
      <c r="A307" s="218"/>
      <c r="B307" s="218"/>
      <c r="C307" s="33" t="s">
        <v>8</v>
      </c>
      <c r="D307" s="70" t="str">
        <f t="shared" ref="D307:I307" si="68">D281</f>
        <v>12-24</v>
      </c>
      <c r="E307" s="70" t="str">
        <f t="shared" si="68"/>
        <v>24-36</v>
      </c>
      <c r="F307" s="70" t="str">
        <f t="shared" si="68"/>
        <v>36-48</v>
      </c>
      <c r="G307" s="70" t="str">
        <f t="shared" si="68"/>
        <v>48-60</v>
      </c>
      <c r="H307" s="70" t="str">
        <f t="shared" si="68"/>
        <v>60-72</v>
      </c>
      <c r="I307" s="70" t="str">
        <f t="shared" si="68"/>
        <v>72-84</v>
      </c>
      <c r="J307" s="218"/>
      <c r="K307" s="218"/>
      <c r="L307" s="33"/>
      <c r="M307" s="218"/>
      <c r="N307" s="218"/>
      <c r="O307" s="218"/>
      <c r="P307" s="218"/>
    </row>
    <row r="308" spans="1:16" s="92" customFormat="1" ht="4.5" customHeight="1">
      <c r="A308" s="218"/>
      <c r="B308" s="218"/>
      <c r="C308" s="218"/>
      <c r="D308" s="218"/>
      <c r="E308" s="218"/>
      <c r="F308" s="218"/>
      <c r="G308" s="218"/>
      <c r="H308" s="218"/>
      <c r="I308" s="218"/>
      <c r="J308" s="218"/>
      <c r="K308" s="218"/>
      <c r="L308" s="218"/>
      <c r="M308" s="218"/>
      <c r="N308" s="218"/>
      <c r="O308" s="218"/>
      <c r="P308" s="218"/>
    </row>
    <row r="309" spans="1:16" s="92" customFormat="1" ht="12.5">
      <c r="A309" s="218"/>
      <c r="B309" s="218"/>
      <c r="C309" s="31">
        <f t="shared" ref="C309:C316" si="69">C283</f>
        <v>2014</v>
      </c>
      <c r="D309" s="262"/>
      <c r="E309" s="262"/>
      <c r="F309" s="262"/>
      <c r="G309" s="262"/>
      <c r="H309" s="262"/>
      <c r="I309" s="427">
        <f t="shared" ref="I309" si="70">I266/I283-1</f>
        <v>-3.3254229826499282E-3</v>
      </c>
      <c r="J309" s="218"/>
      <c r="K309" s="218"/>
      <c r="L309" s="255"/>
      <c r="M309" s="218"/>
      <c r="N309" s="218"/>
      <c r="O309" s="218"/>
      <c r="P309" s="218"/>
    </row>
    <row r="310" spans="1:16" s="92" customFormat="1" ht="12.5">
      <c r="A310" s="218"/>
      <c r="B310" s="218"/>
      <c r="C310" s="31">
        <f t="shared" si="69"/>
        <v>2015</v>
      </c>
      <c r="D310" s="262"/>
      <c r="E310" s="262"/>
      <c r="F310" s="262"/>
      <c r="G310" s="262"/>
      <c r="H310" s="427">
        <f t="shared" ref="H310:I310" si="71">H267/H284-1</f>
        <v>3.1379274656977429E-3</v>
      </c>
      <c r="I310" s="427">
        <f t="shared" si="71"/>
        <v>-1.722777055571223E-3</v>
      </c>
      <c r="J310" s="218"/>
      <c r="K310" s="218"/>
      <c r="L310" s="255"/>
      <c r="M310" s="218"/>
      <c r="N310" s="218"/>
      <c r="O310" s="218"/>
      <c r="P310" s="218"/>
    </row>
    <row r="311" spans="1:16" s="92" customFormat="1" ht="12.5">
      <c r="A311" s="218"/>
      <c r="B311" s="218"/>
      <c r="C311" s="31">
        <f t="shared" si="69"/>
        <v>2016</v>
      </c>
      <c r="D311" s="262"/>
      <c r="E311" s="262"/>
      <c r="F311" s="262"/>
      <c r="G311" s="427">
        <f t="shared" ref="F311:G312" si="72">G268/G285-1</f>
        <v>1.377155678199693E-2</v>
      </c>
      <c r="H311" s="427">
        <f t="shared" ref="H311" si="73">H268/H285-1</f>
        <v>4.3312859518704894E-3</v>
      </c>
      <c r="I311" s="427">
        <f>I268/I285-1</f>
        <v>-1.0034057298193844E-3</v>
      </c>
      <c r="J311" s="218"/>
      <c r="K311" s="218"/>
      <c r="L311" s="255"/>
      <c r="M311" s="218"/>
      <c r="N311" s="218"/>
      <c r="O311" s="218"/>
      <c r="P311" s="218"/>
    </row>
    <row r="312" spans="1:16" s="92" customFormat="1" ht="12.5">
      <c r="A312" s="218"/>
      <c r="B312" s="218"/>
      <c r="C312" s="31">
        <f t="shared" si="69"/>
        <v>2017</v>
      </c>
      <c r="D312" s="262"/>
      <c r="E312" s="262"/>
      <c r="F312" s="427">
        <f t="shared" si="72"/>
        <v>2.0807238257789518E-2</v>
      </c>
      <c r="G312" s="427">
        <f t="shared" si="72"/>
        <v>1.4898464504743636E-2</v>
      </c>
      <c r="H312" s="427">
        <f>H269/H286-1</f>
        <v>4.5438447958849881E-3</v>
      </c>
      <c r="I312" s="262"/>
      <c r="J312" s="218"/>
      <c r="K312" s="218"/>
      <c r="L312" s="164"/>
      <c r="M312" s="164"/>
      <c r="N312" s="164"/>
      <c r="O312" s="218"/>
      <c r="P312" s="218"/>
    </row>
    <row r="313" spans="1:16" s="92" customFormat="1" ht="12.5">
      <c r="A313" s="218"/>
      <c r="B313" s="218"/>
      <c r="C313" s="31">
        <f t="shared" si="69"/>
        <v>2018</v>
      </c>
      <c r="D313" s="262"/>
      <c r="E313" s="427">
        <f t="shared" ref="E313:F313" si="74">E270/E287-1</f>
        <v>-1.872001227079767E-2</v>
      </c>
      <c r="F313" s="427">
        <f t="shared" si="74"/>
        <v>1.6438113167142943E-2</v>
      </c>
      <c r="G313" s="427">
        <f t="shared" ref="G313" si="75">G270/G287-1</f>
        <v>9.8235791077494472E-3</v>
      </c>
      <c r="H313" s="262"/>
      <c r="I313" s="262"/>
      <c r="J313" s="218"/>
      <c r="K313" s="218"/>
      <c r="L313" s="164"/>
      <c r="M313" s="164"/>
      <c r="N313" s="164"/>
      <c r="O313" s="218"/>
      <c r="P313" s="218"/>
    </row>
    <row r="314" spans="1:16" s="92" customFormat="1" ht="12.5">
      <c r="A314" s="218"/>
      <c r="B314" s="218"/>
      <c r="C314" s="31">
        <f t="shared" si="69"/>
        <v>2019</v>
      </c>
      <c r="D314" s="427">
        <f t="shared" ref="D314:D315" si="76">D271/D288-1</f>
        <v>7.4439518486149048E-3</v>
      </c>
      <c r="E314" s="427">
        <f t="shared" ref="E314" si="77">E271/E288-1</f>
        <v>-1.1872385364324001E-2</v>
      </c>
      <c r="F314" s="427">
        <f>F271/F288-1</f>
        <v>1.2246299420792806E-3</v>
      </c>
      <c r="G314" s="262"/>
      <c r="H314" s="262"/>
      <c r="I314" s="262"/>
      <c r="J314" s="218"/>
      <c r="K314" s="218"/>
      <c r="L314" s="164"/>
      <c r="M314" s="164"/>
      <c r="N314" s="164"/>
      <c r="O314" s="218"/>
      <c r="P314" s="218"/>
    </row>
    <row r="315" spans="1:16" s="92" customFormat="1" ht="12.5">
      <c r="A315" s="218"/>
      <c r="B315" s="218"/>
      <c r="C315" s="31">
        <f t="shared" si="69"/>
        <v>2020</v>
      </c>
      <c r="D315" s="427">
        <f t="shared" si="76"/>
        <v>1.1434193685744276E-2</v>
      </c>
      <c r="E315" s="427">
        <f>E272/E289-1</f>
        <v>-1.7173188095021552E-2</v>
      </c>
      <c r="F315" s="262"/>
      <c r="G315" s="262"/>
      <c r="H315" s="262"/>
      <c r="I315" s="262"/>
      <c r="J315" s="218"/>
      <c r="K315" s="218"/>
      <c r="L315" s="164"/>
      <c r="M315" s="164"/>
      <c r="N315" s="164"/>
      <c r="O315" s="218"/>
      <c r="P315" s="218"/>
    </row>
    <row r="316" spans="1:16" s="92" customFormat="1" ht="12.5">
      <c r="A316" s="218"/>
      <c r="B316" s="218"/>
      <c r="C316" s="31">
        <f t="shared" si="69"/>
        <v>2021</v>
      </c>
      <c r="D316" s="427">
        <f>D273/D290-1</f>
        <v>-9.8656499514793161E-4</v>
      </c>
      <c r="E316" s="262"/>
      <c r="F316" s="262"/>
      <c r="G316" s="262"/>
      <c r="H316" s="262"/>
      <c r="I316" s="262"/>
      <c r="J316" s="218"/>
      <c r="K316" s="218"/>
      <c r="L316" s="164"/>
      <c r="M316" s="164"/>
      <c r="N316" s="164"/>
      <c r="O316" s="218"/>
      <c r="P316" s="218"/>
    </row>
    <row r="317" spans="1:16" s="92" customFormat="1" ht="35.5" customHeight="1">
      <c r="A317" s="218"/>
      <c r="B317" s="218"/>
      <c r="C317" s="31"/>
      <c r="D317" s="262"/>
      <c r="E317" s="218"/>
      <c r="F317" s="262"/>
      <c r="G317" s="262"/>
      <c r="H317" s="262"/>
      <c r="I317" s="262"/>
      <c r="J317" s="218"/>
      <c r="K317" s="218"/>
      <c r="L317" s="255"/>
      <c r="M317" s="218"/>
      <c r="N317" s="218"/>
      <c r="O317" s="218"/>
      <c r="P317" s="218"/>
    </row>
    <row r="318" spans="1:16" s="92" customFormat="1" ht="12.75" customHeight="1">
      <c r="A318" s="263"/>
      <c r="B318" s="126" t="s">
        <v>373</v>
      </c>
      <c r="C318" s="263"/>
      <c r="D318" s="263"/>
      <c r="E318" s="263"/>
      <c r="F318" s="263"/>
      <c r="G318" s="263"/>
      <c r="H318" s="263"/>
      <c r="I318" s="263"/>
      <c r="J318" s="117"/>
      <c r="K318" s="117"/>
      <c r="L318" s="117"/>
      <c r="M318" s="218"/>
      <c r="N318" s="218"/>
      <c r="O318" s="218"/>
      <c r="P318" s="218"/>
    </row>
    <row r="319" spans="1:16" s="178" customFormat="1" ht="12.75" customHeight="1">
      <c r="A319" s="263"/>
      <c r="B319" s="126" t="s">
        <v>372</v>
      </c>
      <c r="C319" s="263"/>
      <c r="D319" s="263"/>
      <c r="E319" s="263"/>
      <c r="F319" s="263"/>
      <c r="G319" s="263"/>
      <c r="H319" s="263"/>
      <c r="I319" s="263"/>
      <c r="J319" s="117"/>
      <c r="K319" s="117"/>
      <c r="L319" s="117"/>
      <c r="M319" s="218"/>
      <c r="N319" s="218"/>
      <c r="O319" s="218"/>
      <c r="P319" s="218"/>
    </row>
    <row r="320" spans="1:16" s="92" customFormat="1" ht="28.4" customHeight="1">
      <c r="A320" s="218"/>
      <c r="B320" s="117"/>
      <c r="C320" s="117"/>
      <c r="D320" s="117"/>
      <c r="E320" s="117"/>
      <c r="F320" s="117"/>
      <c r="G320" s="117"/>
      <c r="H320" s="117"/>
      <c r="I320" s="117"/>
      <c r="J320" s="218"/>
      <c r="K320" s="218"/>
      <c r="L320" s="218"/>
      <c r="M320" s="218"/>
      <c r="N320" s="218"/>
      <c r="O320" s="218"/>
      <c r="P320" s="218"/>
    </row>
    <row r="321" spans="1:16" s="92" customFormat="1" ht="12.5">
      <c r="A321" s="218"/>
      <c r="B321" s="218"/>
      <c r="C321" s="31" t="s">
        <v>192</v>
      </c>
      <c r="D321" s="509" t="s">
        <v>287</v>
      </c>
      <c r="E321" s="509"/>
      <c r="F321" s="509"/>
      <c r="G321" s="509"/>
      <c r="H321" s="509"/>
      <c r="I321" s="509"/>
      <c r="J321" s="218"/>
      <c r="K321" s="218"/>
      <c r="L321" s="218"/>
      <c r="M321" s="218"/>
      <c r="N321" s="218"/>
      <c r="O321" s="218"/>
      <c r="P321" s="218"/>
    </row>
    <row r="322" spans="1:16" s="92" customFormat="1" ht="12.5">
      <c r="A322" s="218"/>
      <c r="B322" s="218"/>
      <c r="C322" s="33" t="s">
        <v>8</v>
      </c>
      <c r="D322" s="70" t="str">
        <f t="shared" ref="D322:I322" si="78">D307</f>
        <v>12-24</v>
      </c>
      <c r="E322" s="70" t="str">
        <f t="shared" si="78"/>
        <v>24-36</v>
      </c>
      <c r="F322" s="70" t="str">
        <f t="shared" si="78"/>
        <v>36-48</v>
      </c>
      <c r="G322" s="70" t="str">
        <f t="shared" si="78"/>
        <v>48-60</v>
      </c>
      <c r="H322" s="70" t="str">
        <f t="shared" si="78"/>
        <v>60-72</v>
      </c>
      <c r="I322" s="70" t="str">
        <f t="shared" si="78"/>
        <v>72-84</v>
      </c>
      <c r="J322" s="218"/>
      <c r="K322" s="218"/>
      <c r="L322" s="218"/>
      <c r="M322" s="218"/>
      <c r="N322" s="218"/>
      <c r="O322" s="218"/>
      <c r="P322" s="218"/>
    </row>
    <row r="323" spans="1:16" s="92" customFormat="1" ht="4.5" customHeight="1">
      <c r="A323" s="218"/>
      <c r="B323" s="218"/>
      <c r="C323" s="218"/>
      <c r="D323" s="218"/>
      <c r="E323" s="218"/>
      <c r="F323" s="218"/>
      <c r="G323" s="218"/>
      <c r="H323" s="218"/>
      <c r="I323" s="218"/>
      <c r="J323" s="218"/>
      <c r="K323" s="218"/>
      <c r="L323" s="218"/>
      <c r="M323" s="218"/>
      <c r="N323" s="218"/>
      <c r="O323" s="218"/>
      <c r="P323" s="218"/>
    </row>
    <row r="324" spans="1:16" s="92" customFormat="1" ht="12.5">
      <c r="A324" s="218"/>
      <c r="B324" s="218"/>
      <c r="C324" s="31">
        <f t="shared" ref="C324:C331" si="79">+C309</f>
        <v>2014</v>
      </c>
      <c r="D324" s="428"/>
      <c r="E324" s="428"/>
      <c r="F324" s="428"/>
      <c r="G324" s="428"/>
      <c r="H324" s="428"/>
      <c r="I324" s="428">
        <v>1.0355448855210267</v>
      </c>
      <c r="J324" s="218"/>
      <c r="K324" s="218"/>
      <c r="L324" s="218"/>
      <c r="M324" s="218"/>
      <c r="N324" s="218"/>
      <c r="O324" s="218"/>
      <c r="P324" s="218"/>
    </row>
    <row r="325" spans="1:16" s="92" customFormat="1" ht="12.5">
      <c r="A325" s="218"/>
      <c r="B325" s="218"/>
      <c r="C325" s="31">
        <f t="shared" si="79"/>
        <v>2015</v>
      </c>
      <c r="D325" s="428"/>
      <c r="E325" s="428"/>
      <c r="F325" s="428"/>
      <c r="G325" s="428"/>
      <c r="H325" s="428">
        <v>1.0613199272587082</v>
      </c>
      <c r="I325" s="428">
        <v>1.0402048663080947</v>
      </c>
      <c r="J325" s="218"/>
      <c r="K325" s="218"/>
      <c r="L325" s="218"/>
      <c r="M325" s="218"/>
      <c r="N325" s="218"/>
      <c r="O325" s="218"/>
      <c r="P325" s="218"/>
    </row>
    <row r="326" spans="1:16" s="92" customFormat="1" ht="12.5">
      <c r="A326" s="218"/>
      <c r="B326" s="218"/>
      <c r="C326" s="31">
        <f t="shared" si="79"/>
        <v>2016</v>
      </c>
      <c r="D326" s="428"/>
      <c r="E326" s="428"/>
      <c r="F326" s="428"/>
      <c r="G326" s="428">
        <v>1.1181900271305425</v>
      </c>
      <c r="H326" s="428">
        <v>1.0645911631089828</v>
      </c>
      <c r="I326" s="428">
        <v>1.0419534478237984</v>
      </c>
      <c r="J326" s="218"/>
      <c r="K326" s="218"/>
      <c r="L326" s="218"/>
      <c r="M326" s="218"/>
      <c r="N326" s="218"/>
      <c r="O326" s="218"/>
      <c r="P326" s="218"/>
    </row>
    <row r="327" spans="1:16" s="92" customFormat="1" ht="12.5">
      <c r="A327" s="218"/>
      <c r="B327" s="218"/>
      <c r="C327" s="31">
        <f t="shared" si="79"/>
        <v>2017</v>
      </c>
      <c r="D327" s="428"/>
      <c r="E327" s="428"/>
      <c r="F327" s="428">
        <v>1.2351767582919253</v>
      </c>
      <c r="G327" s="428">
        <v>1.1255223971357606</v>
      </c>
      <c r="H327" s="428">
        <v>1.0698391947076176</v>
      </c>
      <c r="I327" s="428"/>
      <c r="J327" s="218"/>
      <c r="K327" s="218"/>
      <c r="L327" s="218"/>
      <c r="M327" s="218"/>
      <c r="N327" s="218"/>
      <c r="O327" s="218"/>
      <c r="P327" s="218"/>
    </row>
    <row r="328" spans="1:16" s="92" customFormat="1" ht="12.5">
      <c r="A328" s="218"/>
      <c r="B328" s="218"/>
      <c r="C328" s="31">
        <f t="shared" si="79"/>
        <v>2018</v>
      </c>
      <c r="D328" s="428"/>
      <c r="E328" s="428">
        <v>1.4974332612747627</v>
      </c>
      <c r="F328" s="428">
        <v>1.2420873742902487</v>
      </c>
      <c r="G328" s="428">
        <v>1.1239336435469252</v>
      </c>
      <c r="H328" s="428"/>
      <c r="I328" s="428"/>
      <c r="J328" s="218"/>
      <c r="K328" s="218"/>
      <c r="L328" s="218"/>
      <c r="M328" s="218"/>
      <c r="N328" s="218"/>
      <c r="O328" s="218"/>
      <c r="P328" s="218"/>
    </row>
    <row r="329" spans="1:16" s="92" customFormat="1" ht="12.5">
      <c r="A329" s="218"/>
      <c r="B329" s="218"/>
      <c r="C329" s="31">
        <f t="shared" si="79"/>
        <v>2019</v>
      </c>
      <c r="D329" s="428">
        <v>3.0858008245123076</v>
      </c>
      <c r="E329" s="428">
        <v>1.5306096750706621</v>
      </c>
      <c r="F329" s="428">
        <v>1.2415185411281784</v>
      </c>
      <c r="G329" s="428"/>
      <c r="H329" s="428"/>
      <c r="I329" s="428"/>
      <c r="J329" s="218"/>
      <c r="K329" s="218"/>
      <c r="L329" s="218"/>
      <c r="M329" s="218"/>
      <c r="N329" s="218"/>
      <c r="O329" s="218"/>
      <c r="P329" s="218"/>
    </row>
    <row r="330" spans="1:16" s="92" customFormat="1" ht="12.5">
      <c r="A330" s="218"/>
      <c r="B330" s="218"/>
      <c r="C330" s="31">
        <f t="shared" si="79"/>
        <v>2020</v>
      </c>
      <c r="D330" s="428">
        <v>2.9928337791161175</v>
      </c>
      <c r="E330" s="428">
        <v>1.5174845975812867</v>
      </c>
      <c r="F330" s="428"/>
      <c r="G330" s="428"/>
      <c r="H330" s="428"/>
      <c r="I330" s="428"/>
      <c r="J330" s="218"/>
      <c r="K330" s="218"/>
      <c r="L330" s="218"/>
      <c r="M330" s="218"/>
      <c r="N330" s="218"/>
      <c r="O330" s="218"/>
      <c r="P330" s="218"/>
    </row>
    <row r="331" spans="1:16" s="92" customFormat="1" ht="12.5">
      <c r="A331" s="218"/>
      <c r="B331" s="218"/>
      <c r="C331" s="31">
        <f t="shared" si="79"/>
        <v>2021</v>
      </c>
      <c r="D331" s="428">
        <v>2.9490876601343232</v>
      </c>
      <c r="E331" s="428"/>
      <c r="F331" s="428"/>
      <c r="G331" s="428"/>
      <c r="H331" s="428"/>
      <c r="I331" s="428"/>
      <c r="J331" s="218"/>
      <c r="K331" s="218"/>
      <c r="L331" s="218"/>
      <c r="M331" s="218"/>
      <c r="N331" s="218"/>
      <c r="O331" s="218"/>
      <c r="P331" s="218"/>
    </row>
    <row r="332" spans="1:16" s="92" customFormat="1" ht="12.5">
      <c r="A332" s="218"/>
      <c r="B332" s="218"/>
      <c r="C332" s="31"/>
      <c r="D332" s="218"/>
      <c r="E332" s="218"/>
      <c r="F332" s="218"/>
      <c r="G332" s="218"/>
      <c r="H332" s="218"/>
      <c r="I332" s="218"/>
      <c r="J332" s="218"/>
      <c r="K332" s="218"/>
      <c r="L332" s="218"/>
      <c r="M332" s="218"/>
      <c r="N332" s="218"/>
      <c r="O332" s="218"/>
      <c r="P332" s="218"/>
    </row>
    <row r="333" spans="1:16" s="229" customFormat="1" ht="12.5">
      <c r="A333" s="325"/>
      <c r="B333" s="325"/>
      <c r="C333" s="329" t="s">
        <v>244</v>
      </c>
      <c r="D333" s="425">
        <f>D331</f>
        <v>2.9490876601343232</v>
      </c>
      <c r="E333" s="425">
        <f>E330</f>
        <v>1.5174845975812867</v>
      </c>
      <c r="F333" s="425">
        <f>F329</f>
        <v>1.2415185411281784</v>
      </c>
      <c r="G333" s="425">
        <f>G328</f>
        <v>1.1239336435469252</v>
      </c>
      <c r="H333" s="425">
        <f>H327</f>
        <v>1.0698391947076176</v>
      </c>
      <c r="I333" s="425">
        <f>I326</f>
        <v>1.0419534478237984</v>
      </c>
      <c r="J333" s="325"/>
      <c r="K333" s="325"/>
      <c r="L333" s="325"/>
      <c r="M333" s="325"/>
      <c r="N333" s="325"/>
      <c r="O333" s="325"/>
      <c r="P333" s="325"/>
    </row>
    <row r="334" spans="1:16" s="92" customFormat="1" ht="12.5">
      <c r="A334" s="218"/>
      <c r="B334" s="218"/>
      <c r="C334" s="218" t="s">
        <v>419</v>
      </c>
      <c r="D334" s="425">
        <f>AVERAGE(D330:D331)</f>
        <v>2.9709607196252206</v>
      </c>
      <c r="E334" s="425">
        <f>AVERAGE(E329:E330)</f>
        <v>1.5240471363259744</v>
      </c>
      <c r="F334" s="425">
        <f>AVERAGE(F328:F329)</f>
        <v>1.2418029577092136</v>
      </c>
      <c r="G334" s="425">
        <f>AVERAGE(G327:G328)</f>
        <v>1.124728020341343</v>
      </c>
      <c r="H334" s="425">
        <f>AVERAGE(H326:H327)</f>
        <v>1.0672151789083002</v>
      </c>
      <c r="I334" s="425">
        <f>AVERAGE(I325:I326)</f>
        <v>1.0410791570659466</v>
      </c>
      <c r="J334" s="218"/>
      <c r="K334" s="218"/>
      <c r="L334" s="218"/>
      <c r="M334" s="218"/>
      <c r="N334" s="218"/>
      <c r="O334" s="218"/>
      <c r="P334" s="218"/>
    </row>
    <row r="335" spans="1:16" s="92" customFormat="1" ht="12.5">
      <c r="A335" s="218"/>
      <c r="B335" s="218"/>
      <c r="C335" s="218" t="s">
        <v>259</v>
      </c>
      <c r="D335" s="425">
        <f>AVERAGE(D329:D331)</f>
        <v>3.0092407545875823</v>
      </c>
      <c r="E335" s="425">
        <f>AVERAGE(E328:E330)</f>
        <v>1.5151758446422372</v>
      </c>
      <c r="F335" s="425">
        <f>AVERAGE(F327:F329)</f>
        <v>1.2395942245701175</v>
      </c>
      <c r="G335" s="425">
        <f>AVERAGE(G326:G328)</f>
        <v>1.1225486892710761</v>
      </c>
      <c r="H335" s="425">
        <f>AVERAGE(H325:H327)</f>
        <v>1.0652500950251029</v>
      </c>
      <c r="I335" s="425">
        <f>AVERAGE(I324:I326)</f>
        <v>1.0392343998843068</v>
      </c>
      <c r="J335" s="218"/>
      <c r="K335" s="218"/>
      <c r="L335" s="218"/>
      <c r="M335" s="218"/>
      <c r="N335" s="218"/>
      <c r="O335" s="218"/>
      <c r="P335" s="218"/>
    </row>
    <row r="336" spans="1:16" s="92" customFormat="1" ht="12.5">
      <c r="A336" s="218"/>
      <c r="B336" s="218"/>
      <c r="C336" s="218"/>
      <c r="D336" s="163"/>
      <c r="E336" s="163"/>
      <c r="F336" s="163"/>
      <c r="G336" s="163"/>
      <c r="H336" s="163"/>
      <c r="I336" s="163"/>
      <c r="J336" s="218"/>
      <c r="K336" s="218"/>
      <c r="L336" s="218"/>
      <c r="M336" s="218"/>
      <c r="N336" s="218"/>
      <c r="O336" s="218"/>
      <c r="P336" s="218"/>
    </row>
    <row r="337" spans="1:16" s="176" customFormat="1" ht="12.5">
      <c r="A337" s="218"/>
      <c r="B337" s="218"/>
      <c r="C337" s="218"/>
      <c r="D337" s="163"/>
      <c r="E337" s="163"/>
      <c r="F337" s="163"/>
      <c r="G337" s="163"/>
      <c r="H337" s="163"/>
      <c r="I337" s="163"/>
      <c r="J337" s="218"/>
      <c r="K337" s="218"/>
      <c r="L337" s="218"/>
      <c r="M337" s="218"/>
      <c r="N337" s="218"/>
      <c r="O337" s="218"/>
      <c r="P337" s="218"/>
    </row>
    <row r="338" spans="1:16" s="176" customFormat="1" ht="12.5">
      <c r="A338" s="218"/>
      <c r="B338" s="218"/>
      <c r="C338" s="218"/>
      <c r="D338" s="163"/>
      <c r="E338" s="163"/>
      <c r="F338" s="163"/>
      <c r="G338" s="163"/>
      <c r="H338" s="163"/>
      <c r="I338" s="163"/>
      <c r="J338" s="218"/>
      <c r="K338" s="218"/>
      <c r="L338" s="218"/>
      <c r="M338" s="218"/>
      <c r="N338" s="218"/>
      <c r="O338" s="218"/>
      <c r="P338" s="218"/>
    </row>
    <row r="339" spans="1:16" s="92" customFormat="1" ht="12.75" customHeight="1">
      <c r="A339" s="46" t="s">
        <v>262</v>
      </c>
      <c r="B339" s="156" t="s">
        <v>263</v>
      </c>
      <c r="C339" s="156"/>
      <c r="D339" s="156"/>
      <c r="E339" s="156"/>
      <c r="F339" s="156"/>
      <c r="G339" s="156"/>
      <c r="H339" s="156"/>
      <c r="I339" s="156"/>
      <c r="J339" s="156"/>
      <c r="K339" s="247"/>
      <c r="L339" s="218"/>
      <c r="M339" s="218"/>
      <c r="N339" s="218"/>
      <c r="O339" s="218"/>
      <c r="P339" s="218"/>
    </row>
    <row r="340" spans="1:16" s="92" customFormat="1" ht="12.75" customHeight="1">
      <c r="A340" s="46" t="s">
        <v>264</v>
      </c>
      <c r="B340" s="156" t="s">
        <v>362</v>
      </c>
      <c r="C340" s="251"/>
      <c r="D340" s="251"/>
      <c r="E340" s="251"/>
      <c r="F340" s="251"/>
      <c r="G340" s="251"/>
      <c r="H340" s="251"/>
      <c r="I340" s="251"/>
      <c r="J340" s="251"/>
      <c r="K340" s="251"/>
      <c r="L340" s="218"/>
      <c r="M340" s="218"/>
      <c r="N340" s="218"/>
      <c r="O340" s="218"/>
      <c r="P340" s="218"/>
    </row>
    <row r="341" spans="1:16" s="92" customFormat="1" ht="12.75" customHeight="1">
      <c r="A341" s="108"/>
      <c r="B341" s="108" t="s">
        <v>363</v>
      </c>
      <c r="C341" s="108"/>
      <c r="D341" s="265"/>
      <c r="E341" s="265"/>
      <c r="F341" s="265"/>
      <c r="G341" s="265"/>
      <c r="H341" s="265"/>
      <c r="I341" s="265"/>
      <c r="J341" s="108"/>
      <c r="K341" s="108"/>
      <c r="L341" s="108"/>
      <c r="M341" s="108"/>
      <c r="N341" s="108"/>
      <c r="O341" s="218"/>
      <c r="P341" s="218"/>
    </row>
    <row r="342" spans="1:16" s="176" customFormat="1" ht="12.75" customHeight="1">
      <c r="A342" s="108"/>
      <c r="B342" s="108"/>
      <c r="C342" s="108"/>
      <c r="D342" s="265"/>
      <c r="E342" s="265"/>
      <c r="F342" s="265"/>
      <c r="G342" s="265"/>
      <c r="H342" s="265"/>
      <c r="I342" s="265"/>
      <c r="J342" s="108"/>
      <c r="K342" s="108"/>
      <c r="L342" s="108"/>
      <c r="M342" s="108"/>
      <c r="N342" s="108"/>
      <c r="O342" s="218"/>
      <c r="P342" s="218"/>
    </row>
    <row r="343" spans="1:16" s="92" customFormat="1" ht="12.75" customHeight="1">
      <c r="A343" s="218"/>
      <c r="B343" s="108" t="s">
        <v>420</v>
      </c>
      <c r="C343" s="250"/>
      <c r="D343" s="148"/>
      <c r="E343" s="148"/>
      <c r="F343" s="148"/>
      <c r="G343" s="148"/>
      <c r="H343" s="148"/>
      <c r="I343" s="148"/>
      <c r="J343" s="108"/>
      <c r="K343" s="108"/>
      <c r="L343" s="108"/>
      <c r="M343" s="108"/>
      <c r="N343" s="108"/>
      <c r="O343" s="218"/>
      <c r="P343" s="218"/>
    </row>
  </sheetData>
  <mergeCells count="30">
    <mergeCell ref="D101:J101"/>
    <mergeCell ref="D187:J187"/>
    <mergeCell ref="D128:J128"/>
    <mergeCell ref="D144:J144"/>
    <mergeCell ref="B234:K234"/>
    <mergeCell ref="B233:K233"/>
    <mergeCell ref="B116:K116"/>
    <mergeCell ref="B117:K117"/>
    <mergeCell ref="B176:K176"/>
    <mergeCell ref="B175:K175"/>
    <mergeCell ref="D160:J160"/>
    <mergeCell ref="B177:J177"/>
    <mergeCell ref="A6:J6"/>
    <mergeCell ref="D9:J9"/>
    <mergeCell ref="D69:J69"/>
    <mergeCell ref="D85:J85"/>
    <mergeCell ref="A23:J23"/>
    <mergeCell ref="D25:J25"/>
    <mergeCell ref="A44:J44"/>
    <mergeCell ref="D46:J46"/>
    <mergeCell ref="D321:I321"/>
    <mergeCell ref="D306:I306"/>
    <mergeCell ref="B294:K294"/>
    <mergeCell ref="B295:K295"/>
    <mergeCell ref="D204:J204"/>
    <mergeCell ref="D219:J219"/>
    <mergeCell ref="D246:J246"/>
    <mergeCell ref="D262:I262"/>
    <mergeCell ref="B235:K235"/>
    <mergeCell ref="D280:I280"/>
  </mergeCells>
  <printOptions horizontalCentered="1"/>
  <pageMargins left="0.25" right="0.25" top="0.33" bottom="0.5" header="0.2" footer="0.3"/>
  <pageSetup scale="81" fitToHeight="6" orientation="portrait" blackAndWhite="1" horizontalDpi="1200" verticalDpi="1200" r:id="rId1"/>
  <headerFooter scaleWithDoc="0"/>
  <rowBreaks count="5" manualBreakCount="5">
    <brk id="60" max="10" man="1"/>
    <brk id="119" max="10" man="1"/>
    <brk id="178" max="10" man="1"/>
    <brk id="237" max="10" man="1"/>
    <brk id="297"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30"/>
  <sheetViews>
    <sheetView zoomScaleNormal="100" zoomScaleSheetLayoutView="100" workbookViewId="0"/>
  </sheetViews>
  <sheetFormatPr defaultRowHeight="14.5"/>
  <cols>
    <col min="1" max="1" width="6.81640625" customWidth="1"/>
    <col min="2" max="2" width="14.81640625" customWidth="1"/>
    <col min="3" max="12" width="8.81640625" customWidth="1"/>
    <col min="13" max="13" width="8.81640625" bestFit="1" customWidth="1"/>
  </cols>
  <sheetData>
    <row r="1" spans="1:15">
      <c r="A1" s="242"/>
      <c r="B1" s="242"/>
      <c r="C1" s="242"/>
      <c r="D1" s="242"/>
      <c r="E1" s="242"/>
      <c r="F1" s="242"/>
      <c r="G1" s="242"/>
      <c r="H1" s="242"/>
      <c r="I1" s="242"/>
      <c r="J1" s="242"/>
      <c r="K1" s="242"/>
      <c r="L1" s="242"/>
      <c r="M1" s="46" t="s">
        <v>377</v>
      </c>
      <c r="N1" s="242"/>
    </row>
    <row r="2" spans="1:15">
      <c r="A2" s="122" t="s">
        <v>383</v>
      </c>
      <c r="B2" s="122"/>
      <c r="C2" s="122"/>
      <c r="D2" s="122"/>
      <c r="E2" s="122"/>
      <c r="F2" s="122"/>
      <c r="G2" s="122"/>
      <c r="H2" s="122"/>
      <c r="I2" s="122"/>
      <c r="J2" s="122"/>
      <c r="K2" s="122"/>
      <c r="L2" s="122"/>
      <c r="M2" s="122"/>
      <c r="N2" s="242"/>
    </row>
    <row r="3" spans="1:15">
      <c r="A3" s="122" t="s">
        <v>384</v>
      </c>
      <c r="B3" s="122"/>
      <c r="C3" s="122"/>
      <c r="D3" s="122"/>
      <c r="E3" s="122"/>
      <c r="F3" s="122"/>
      <c r="G3" s="122"/>
      <c r="H3" s="122"/>
      <c r="I3" s="122"/>
      <c r="J3" s="122"/>
      <c r="K3" s="122"/>
      <c r="L3" s="122"/>
      <c r="M3" s="122"/>
      <c r="N3" s="242"/>
    </row>
    <row r="4" spans="1:15">
      <c r="A4" s="122" t="s">
        <v>385</v>
      </c>
      <c r="B4" s="122"/>
      <c r="C4" s="122"/>
      <c r="D4" s="122"/>
      <c r="E4" s="122"/>
      <c r="F4" s="122"/>
      <c r="G4" s="122"/>
      <c r="H4" s="122"/>
      <c r="I4" s="122"/>
      <c r="J4" s="122"/>
      <c r="K4" s="122"/>
      <c r="L4" s="122"/>
      <c r="M4" s="122"/>
      <c r="N4" s="242"/>
    </row>
    <row r="5" spans="1:15">
      <c r="A5" s="122"/>
      <c r="B5" s="122"/>
      <c r="C5" s="122"/>
      <c r="D5" s="122"/>
      <c r="E5" s="122"/>
      <c r="F5" s="122"/>
      <c r="G5" s="122"/>
      <c r="H5" s="122"/>
      <c r="I5" s="122"/>
      <c r="J5" s="122"/>
      <c r="K5" s="122"/>
      <c r="L5" s="122"/>
      <c r="M5" s="122"/>
      <c r="N5" s="242"/>
    </row>
    <row r="6" spans="1:15">
      <c r="A6" s="122"/>
      <c r="B6" s="122"/>
      <c r="C6" s="122"/>
      <c r="D6" s="122"/>
      <c r="E6" s="122"/>
      <c r="F6" s="122"/>
      <c r="G6" s="122"/>
      <c r="H6" s="122"/>
      <c r="I6" s="122"/>
      <c r="J6" s="122"/>
      <c r="K6" s="122"/>
      <c r="L6" s="122"/>
      <c r="M6" s="122"/>
      <c r="N6" s="242"/>
      <c r="O6" s="242"/>
    </row>
    <row r="7" spans="1:15">
      <c r="A7" s="341"/>
      <c r="B7" s="341"/>
      <c r="C7" s="341"/>
      <c r="D7" s="341"/>
      <c r="E7" s="341"/>
      <c r="F7" s="341"/>
      <c r="G7" s="341"/>
      <c r="H7" s="341"/>
      <c r="I7" s="341"/>
      <c r="J7" s="341"/>
      <c r="K7" s="341"/>
      <c r="L7" s="341"/>
      <c r="M7" s="242"/>
      <c r="N7" s="242"/>
      <c r="O7" s="242"/>
    </row>
    <row r="8" spans="1:15">
      <c r="A8" s="340" t="s">
        <v>394</v>
      </c>
      <c r="B8" s="340"/>
      <c r="C8" s="340"/>
      <c r="D8" s="340"/>
      <c r="E8" s="340"/>
      <c r="F8" s="340"/>
      <c r="G8" s="340"/>
      <c r="H8" s="340"/>
      <c r="I8" s="340"/>
      <c r="J8" s="340"/>
      <c r="K8" s="340"/>
      <c r="L8" s="340"/>
      <c r="M8" s="242"/>
      <c r="N8" s="242"/>
      <c r="O8" s="242"/>
    </row>
    <row r="9" spans="1:15">
      <c r="A9" s="341"/>
      <c r="B9" s="341"/>
      <c r="C9" s="341"/>
      <c r="D9" s="341"/>
      <c r="E9" s="341"/>
      <c r="F9" s="341"/>
      <c r="G9" s="341"/>
      <c r="H9" s="341"/>
      <c r="I9" s="341"/>
      <c r="J9" s="341"/>
      <c r="K9" s="341"/>
      <c r="L9" s="341"/>
      <c r="M9" s="242"/>
      <c r="N9" s="242"/>
      <c r="O9" s="242"/>
    </row>
    <row r="10" spans="1:15">
      <c r="A10" s="341"/>
      <c r="B10" s="31" t="s">
        <v>192</v>
      </c>
      <c r="C10" s="124" t="s">
        <v>287</v>
      </c>
      <c r="D10" s="330"/>
      <c r="E10" s="330"/>
      <c r="F10" s="330"/>
      <c r="G10" s="330"/>
      <c r="H10" s="330"/>
      <c r="I10" s="330"/>
      <c r="J10" s="330"/>
      <c r="K10" s="330"/>
      <c r="L10" s="330"/>
      <c r="M10" s="242"/>
      <c r="N10" s="242"/>
      <c r="O10" s="242"/>
    </row>
    <row r="11" spans="1:15">
      <c r="A11" s="341"/>
      <c r="B11" s="33" t="s">
        <v>8</v>
      </c>
      <c r="C11" s="70">
        <v>300</v>
      </c>
      <c r="D11" s="70">
        <v>312</v>
      </c>
      <c r="E11" s="70">
        <v>324</v>
      </c>
      <c r="F11" s="70">
        <v>336</v>
      </c>
      <c r="G11" s="70">
        <v>348</v>
      </c>
      <c r="H11" s="70">
        <v>360</v>
      </c>
      <c r="I11" s="70">
        <v>372</v>
      </c>
      <c r="J11" s="70">
        <v>384</v>
      </c>
      <c r="K11" s="70">
        <v>396</v>
      </c>
      <c r="L11" s="70">
        <v>408</v>
      </c>
      <c r="M11" s="242"/>
      <c r="N11" s="242"/>
      <c r="O11" s="242"/>
    </row>
    <row r="12" spans="1:15">
      <c r="A12" s="341"/>
      <c r="B12" s="145">
        <f t="shared" ref="B12:B14" si="0">B13-1</f>
        <v>1989</v>
      </c>
      <c r="C12" s="419"/>
      <c r="D12" s="419"/>
      <c r="E12" s="419"/>
      <c r="F12" s="419"/>
      <c r="G12" s="419"/>
      <c r="H12" s="419"/>
      <c r="I12" s="419">
        <v>210926</v>
      </c>
      <c r="J12" s="419">
        <v>210991</v>
      </c>
      <c r="K12" s="419">
        <v>211046</v>
      </c>
      <c r="L12" s="419">
        <v>211039</v>
      </c>
      <c r="M12" s="242"/>
      <c r="N12" s="242"/>
      <c r="O12" s="242"/>
    </row>
    <row r="13" spans="1:15">
      <c r="A13" s="341"/>
      <c r="B13" s="145">
        <f t="shared" si="0"/>
        <v>1990</v>
      </c>
      <c r="C13" s="419"/>
      <c r="D13" s="419"/>
      <c r="E13" s="419"/>
      <c r="F13" s="419"/>
      <c r="G13" s="419"/>
      <c r="H13" s="419">
        <v>230896.00000000003</v>
      </c>
      <c r="I13" s="419">
        <v>230974</v>
      </c>
      <c r="J13" s="419">
        <v>231049.99999999997</v>
      </c>
      <c r="K13" s="419">
        <v>231101</v>
      </c>
      <c r="L13" s="419"/>
      <c r="M13" s="242"/>
      <c r="N13" s="242"/>
      <c r="O13" s="242"/>
    </row>
    <row r="14" spans="1:15">
      <c r="A14" s="341"/>
      <c r="B14" s="145">
        <f t="shared" si="0"/>
        <v>1991</v>
      </c>
      <c r="C14" s="419"/>
      <c r="D14" s="419"/>
      <c r="E14" s="419"/>
      <c r="F14" s="419"/>
      <c r="G14" s="419">
        <v>231322</v>
      </c>
      <c r="H14" s="419">
        <v>231397</v>
      </c>
      <c r="I14" s="419">
        <v>231476.99999999997</v>
      </c>
      <c r="J14" s="419">
        <v>231518</v>
      </c>
      <c r="K14" s="419"/>
      <c r="L14" s="419"/>
      <c r="M14" s="242"/>
      <c r="N14" s="242"/>
      <c r="O14" s="242"/>
    </row>
    <row r="15" spans="1:15">
      <c r="A15" s="341"/>
      <c r="B15" s="145">
        <f t="shared" ref="B15:B20" si="1">B16-1</f>
        <v>1992</v>
      </c>
      <c r="C15" s="419"/>
      <c r="D15" s="419"/>
      <c r="E15" s="419"/>
      <c r="F15" s="419">
        <v>182173</v>
      </c>
      <c r="G15" s="419">
        <v>182246</v>
      </c>
      <c r="H15" s="419">
        <v>182323</v>
      </c>
      <c r="I15" s="419">
        <v>182381</v>
      </c>
      <c r="J15" s="419"/>
      <c r="K15" s="419"/>
      <c r="L15" s="419"/>
      <c r="M15" s="242"/>
      <c r="N15" s="242"/>
      <c r="O15" s="242"/>
    </row>
    <row r="16" spans="1:15">
      <c r="A16" s="341"/>
      <c r="B16" s="145">
        <f t="shared" si="1"/>
        <v>1993</v>
      </c>
      <c r="C16" s="419"/>
      <c r="D16" s="419"/>
      <c r="E16" s="419">
        <v>142694.00000000003</v>
      </c>
      <c r="F16" s="419">
        <v>142787</v>
      </c>
      <c r="G16" s="419">
        <v>142863</v>
      </c>
      <c r="H16" s="419">
        <v>142905</v>
      </c>
      <c r="I16" s="419"/>
      <c r="J16" s="419"/>
      <c r="K16" s="419"/>
      <c r="L16" s="419"/>
      <c r="M16" s="242"/>
      <c r="N16" s="242"/>
      <c r="O16" s="242"/>
    </row>
    <row r="17" spans="1:15">
      <c r="A17" s="341"/>
      <c r="B17" s="145">
        <f t="shared" si="1"/>
        <v>1994</v>
      </c>
      <c r="C17" s="419"/>
      <c r="D17" s="419">
        <v>129959.00000000001</v>
      </c>
      <c r="E17" s="419">
        <v>130048</v>
      </c>
      <c r="F17" s="419">
        <v>130156</v>
      </c>
      <c r="G17" s="419">
        <v>130206</v>
      </c>
      <c r="H17" s="419"/>
      <c r="I17" s="419"/>
      <c r="J17" s="419"/>
      <c r="K17" s="419"/>
      <c r="L17" s="419"/>
      <c r="M17" s="242"/>
      <c r="N17" s="242"/>
      <c r="O17" s="242"/>
    </row>
    <row r="18" spans="1:15">
      <c r="A18" s="341"/>
      <c r="B18" s="145">
        <f t="shared" si="1"/>
        <v>1995</v>
      </c>
      <c r="C18" s="419">
        <v>120774.99999999997</v>
      </c>
      <c r="D18" s="419">
        <v>120897.99999999999</v>
      </c>
      <c r="E18" s="419">
        <v>120986.99999999999</v>
      </c>
      <c r="F18" s="419">
        <v>121056</v>
      </c>
      <c r="G18" s="419"/>
      <c r="H18" s="419"/>
      <c r="I18" s="419"/>
      <c r="J18" s="419"/>
      <c r="K18" s="419"/>
      <c r="L18" s="419"/>
      <c r="M18" s="242"/>
      <c r="N18" s="242"/>
      <c r="O18" s="242"/>
    </row>
    <row r="19" spans="1:15">
      <c r="A19" s="341"/>
      <c r="B19" s="145">
        <f t="shared" si="1"/>
        <v>1996</v>
      </c>
      <c r="C19" s="419">
        <v>115184.36810643875</v>
      </c>
      <c r="D19" s="419">
        <v>115313.12706212098</v>
      </c>
      <c r="E19" s="419">
        <v>115381</v>
      </c>
      <c r="F19" s="419"/>
      <c r="G19" s="419"/>
      <c r="H19" s="419"/>
      <c r="I19" s="419"/>
      <c r="J19" s="419"/>
      <c r="K19" s="419"/>
      <c r="L19" s="419"/>
      <c r="M19" s="242"/>
      <c r="N19" s="242"/>
      <c r="O19" s="242"/>
    </row>
    <row r="20" spans="1:15">
      <c r="A20" s="341"/>
      <c r="B20" s="145">
        <f t="shared" si="1"/>
        <v>1997</v>
      </c>
      <c r="C20" s="419">
        <v>121480.25841913122</v>
      </c>
      <c r="D20" s="419">
        <v>121580</v>
      </c>
      <c r="E20" s="419"/>
      <c r="F20" s="419"/>
      <c r="G20" s="419"/>
      <c r="H20" s="419"/>
      <c r="I20" s="419"/>
      <c r="J20" s="419"/>
      <c r="K20" s="419"/>
      <c r="L20" s="419"/>
      <c r="M20" s="242"/>
      <c r="N20" s="242"/>
      <c r="O20" s="242"/>
    </row>
    <row r="21" spans="1:15">
      <c r="A21" s="341"/>
      <c r="B21" s="145">
        <v>1998</v>
      </c>
      <c r="C21" s="419">
        <v>131778</v>
      </c>
      <c r="D21" s="419"/>
      <c r="E21" s="419"/>
      <c r="F21" s="419"/>
      <c r="G21" s="419"/>
      <c r="H21" s="419"/>
      <c r="I21" s="419"/>
      <c r="J21" s="419"/>
      <c r="K21" s="419"/>
      <c r="L21" s="419"/>
      <c r="M21" s="242"/>
      <c r="N21" s="242"/>
      <c r="O21" s="242"/>
    </row>
    <row r="22" spans="1:15">
      <c r="A22" s="341"/>
      <c r="B22" s="429">
        <v>1999</v>
      </c>
      <c r="C22" s="419"/>
      <c r="D22" s="419"/>
      <c r="E22" s="419"/>
      <c r="F22" s="419"/>
      <c r="G22" s="419"/>
      <c r="H22" s="419"/>
      <c r="I22" s="419"/>
      <c r="J22" s="419"/>
      <c r="K22" s="419"/>
      <c r="L22" s="419"/>
      <c r="M22" s="242"/>
      <c r="N22" s="242"/>
      <c r="O22" s="242"/>
    </row>
    <row r="23" spans="1:15">
      <c r="A23" s="341"/>
      <c r="B23" s="31"/>
      <c r="C23" s="125"/>
      <c r="D23" s="125"/>
      <c r="E23" s="125"/>
      <c r="F23" s="125"/>
      <c r="G23" s="125"/>
      <c r="H23" s="125"/>
      <c r="I23" s="125"/>
      <c r="J23" s="125"/>
      <c r="K23" s="125"/>
      <c r="L23" s="125"/>
      <c r="M23" s="242"/>
      <c r="N23" s="242"/>
      <c r="O23" s="242"/>
    </row>
    <row r="24" spans="1:15">
      <c r="A24" s="341"/>
      <c r="B24" s="199" t="s">
        <v>19</v>
      </c>
      <c r="C24" s="70">
        <f>$B$21</f>
        <v>1998</v>
      </c>
      <c r="D24" s="70">
        <f t="shared" ref="D24:J24" si="2">C24-1</f>
        <v>1997</v>
      </c>
      <c r="E24" s="70">
        <f t="shared" si="2"/>
        <v>1996</v>
      </c>
      <c r="F24" s="70">
        <f t="shared" si="2"/>
        <v>1995</v>
      </c>
      <c r="G24" s="70">
        <f t="shared" si="2"/>
        <v>1994</v>
      </c>
      <c r="H24" s="70">
        <f t="shared" si="2"/>
        <v>1993</v>
      </c>
      <c r="I24" s="70">
        <f t="shared" si="2"/>
        <v>1992</v>
      </c>
      <c r="J24" s="70">
        <f t="shared" si="2"/>
        <v>1991</v>
      </c>
      <c r="K24" s="70">
        <f t="shared" ref="K24:L24" si="3">J24-1</f>
        <v>1990</v>
      </c>
      <c r="L24" s="70">
        <f t="shared" si="3"/>
        <v>1989</v>
      </c>
      <c r="M24" s="70"/>
      <c r="N24" s="242"/>
      <c r="O24" s="242"/>
    </row>
    <row r="25" spans="1:15">
      <c r="A25" s="341"/>
      <c r="B25" s="199"/>
      <c r="C25" s="70"/>
      <c r="D25" s="70"/>
      <c r="E25" s="70"/>
      <c r="F25" s="70"/>
      <c r="G25" s="70"/>
      <c r="H25" s="70"/>
      <c r="I25" s="70"/>
      <c r="J25" s="70"/>
      <c r="K25" s="70"/>
      <c r="L25" s="70"/>
      <c r="M25" s="70"/>
      <c r="N25" s="242"/>
      <c r="O25" s="242"/>
    </row>
    <row r="26" spans="1:15">
      <c r="A26" s="126" t="s">
        <v>387</v>
      </c>
      <c r="B26" s="199"/>
      <c r="C26" s="430">
        <v>132910.498026485</v>
      </c>
      <c r="D26" s="430">
        <v>122444.24373548056</v>
      </c>
      <c r="E26" s="430">
        <v>116049.15162599622</v>
      </c>
      <c r="F26" s="430">
        <v>121654.57405688318</v>
      </c>
      <c r="G26" s="430">
        <v>130685.66032714659</v>
      </c>
      <c r="H26" s="430">
        <v>143294.8115451363</v>
      </c>
      <c r="I26" s="430">
        <v>182759.36943855498</v>
      </c>
      <c r="J26" s="430">
        <v>231929.42830204696</v>
      </c>
      <c r="K26" s="430">
        <v>231353.44958919272</v>
      </c>
      <c r="L26" s="430">
        <v>211386</v>
      </c>
      <c r="M26" s="205"/>
      <c r="N26" s="242"/>
      <c r="O26" s="242"/>
    </row>
    <row r="27" spans="1:15">
      <c r="A27" s="341"/>
      <c r="B27" s="31"/>
      <c r="C27" s="125"/>
      <c r="D27" s="125"/>
      <c r="E27" s="125"/>
      <c r="F27" s="125"/>
      <c r="G27" s="125"/>
      <c r="H27" s="125"/>
      <c r="I27" s="125"/>
      <c r="J27" s="125"/>
      <c r="K27" s="125"/>
      <c r="L27" s="125"/>
      <c r="M27" s="242"/>
      <c r="N27" s="242"/>
      <c r="O27" s="242"/>
    </row>
    <row r="28" spans="1:15">
      <c r="A28" s="341"/>
      <c r="B28" s="31"/>
      <c r="C28" s="341"/>
      <c r="D28" s="341"/>
      <c r="E28" s="341"/>
      <c r="F28" s="341"/>
      <c r="G28" s="341"/>
      <c r="H28" s="341"/>
      <c r="I28" s="341"/>
      <c r="J28" s="341"/>
      <c r="K28" s="341"/>
      <c r="L28" s="341"/>
      <c r="M28" s="242"/>
      <c r="N28" s="242"/>
      <c r="O28" s="242"/>
    </row>
    <row r="29" spans="1:15">
      <c r="A29" s="340" t="s">
        <v>388</v>
      </c>
      <c r="B29" s="340"/>
      <c r="C29" s="340"/>
      <c r="D29" s="340"/>
      <c r="E29" s="340"/>
      <c r="F29" s="340"/>
      <c r="G29" s="340"/>
      <c r="H29" s="340"/>
      <c r="I29" s="340"/>
      <c r="J29" s="340"/>
      <c r="K29" s="340"/>
      <c r="L29" s="340"/>
      <c r="M29" s="242"/>
      <c r="N29" s="242"/>
      <c r="O29" s="242"/>
    </row>
    <row r="30" spans="1:15">
      <c r="A30" s="341"/>
      <c r="B30" s="341"/>
      <c r="C30" s="341"/>
      <c r="D30" s="341"/>
      <c r="E30" s="341"/>
      <c r="F30" s="341"/>
      <c r="G30" s="341"/>
      <c r="H30" s="341"/>
      <c r="I30" s="341"/>
      <c r="J30" s="341"/>
      <c r="K30" s="341"/>
      <c r="L30" s="341"/>
      <c r="M30" s="242"/>
      <c r="N30" s="242"/>
      <c r="O30" s="242"/>
    </row>
    <row r="31" spans="1:15">
      <c r="A31" s="341"/>
      <c r="B31" s="31" t="s">
        <v>192</v>
      </c>
      <c r="C31" s="124" t="s">
        <v>287</v>
      </c>
      <c r="D31" s="330"/>
      <c r="E31" s="330"/>
      <c r="F31" s="330"/>
      <c r="G31" s="330"/>
      <c r="H31" s="330"/>
      <c r="I31" s="330"/>
      <c r="J31" s="330"/>
      <c r="K31" s="330"/>
      <c r="L31" s="330"/>
      <c r="M31" s="242"/>
      <c r="N31" s="242"/>
      <c r="O31" s="242"/>
    </row>
    <row r="32" spans="1:15">
      <c r="A32" s="341"/>
      <c r="B32" s="33" t="s">
        <v>8</v>
      </c>
      <c r="C32" s="70">
        <v>300</v>
      </c>
      <c r="D32" s="70">
        <v>312</v>
      </c>
      <c r="E32" s="70">
        <v>324</v>
      </c>
      <c r="F32" s="70">
        <v>336</v>
      </c>
      <c r="G32" s="70">
        <v>348</v>
      </c>
      <c r="H32" s="70">
        <v>360</v>
      </c>
      <c r="I32" s="70">
        <v>372</v>
      </c>
      <c r="J32" s="70">
        <v>384</v>
      </c>
      <c r="K32" s="70">
        <v>396</v>
      </c>
      <c r="L32" s="70">
        <v>408</v>
      </c>
      <c r="M32" s="242"/>
      <c r="N32" s="242"/>
      <c r="O32" s="242"/>
    </row>
    <row r="33" spans="1:15">
      <c r="A33" s="341"/>
      <c r="B33" s="31">
        <f t="shared" ref="B33:B35" si="4">B34-1</f>
        <v>1989</v>
      </c>
      <c r="C33" s="125"/>
      <c r="D33" s="125"/>
      <c r="E33" s="125"/>
      <c r="F33" s="125"/>
      <c r="G33" s="125"/>
      <c r="H33" s="125"/>
      <c r="I33" s="431">
        <f t="shared" ref="I33:J33" si="5">I12/INDEX($C$26:$L$26,MATCH($B33,$C$24:$L$24,0))</f>
        <v>0.99782388616086215</v>
      </c>
      <c r="J33" s="431">
        <f t="shared" si="5"/>
        <v>0.99813138050769679</v>
      </c>
      <c r="K33" s="431">
        <f t="shared" ref="K33:L33" si="6">K12/INDEX($C$26:$L$26,MATCH($B33,$C$24:$L$24,0))</f>
        <v>0.99839156803194151</v>
      </c>
      <c r="L33" s="431">
        <f t="shared" si="6"/>
        <v>0.9983584532561286</v>
      </c>
      <c r="M33" s="242"/>
      <c r="N33" s="242"/>
      <c r="O33" s="242"/>
    </row>
    <row r="34" spans="1:15">
      <c r="A34" s="341"/>
      <c r="B34" s="31">
        <f t="shared" si="4"/>
        <v>1990</v>
      </c>
      <c r="C34" s="125"/>
      <c r="D34" s="125"/>
      <c r="E34" s="125"/>
      <c r="F34" s="125"/>
      <c r="G34" s="125"/>
      <c r="H34" s="431">
        <f t="shared" ref="H34:I34" si="7">H13/INDEX($C$26:$L$26,MATCH($B34,$C$24:$L$24,0))</f>
        <v>0.99802272414781379</v>
      </c>
      <c r="I34" s="431">
        <f t="shared" si="7"/>
        <v>0.99835987062277876</v>
      </c>
      <c r="J34" s="431">
        <f t="shared" ref="J34:K34" si="8">J13/INDEX($C$26:$L$26,MATCH($B34,$C$24:$L$24,0))</f>
        <v>0.99868837231633423</v>
      </c>
      <c r="K34" s="431">
        <f t="shared" si="8"/>
        <v>0.99890881424227307</v>
      </c>
      <c r="L34" s="332"/>
      <c r="M34" s="242"/>
      <c r="N34" s="242"/>
      <c r="O34" s="242"/>
    </row>
    <row r="35" spans="1:15">
      <c r="A35" s="341"/>
      <c r="B35" s="31">
        <f t="shared" si="4"/>
        <v>1991</v>
      </c>
      <c r="C35" s="125"/>
      <c r="D35" s="125"/>
      <c r="E35" s="125"/>
      <c r="F35" s="125"/>
      <c r="G35" s="431">
        <f t="shared" ref="G35:I35" si="9">G14/INDEX($C$26:$L$26,MATCH($B35,$C$24:$L$24,0))</f>
        <v>0.99738097788411784</v>
      </c>
      <c r="H35" s="431">
        <f t="shared" si="9"/>
        <v>0.99770435211286101</v>
      </c>
      <c r="I35" s="431">
        <f t="shared" si="9"/>
        <v>0.99804928462352016</v>
      </c>
      <c r="J35" s="431">
        <f t="shared" ref="J35" si="10">J14/INDEX($C$26:$L$26,MATCH($B35,$C$24:$L$24,0))</f>
        <v>0.99822606253523316</v>
      </c>
      <c r="K35" s="332"/>
      <c r="L35" s="125"/>
      <c r="M35" s="242"/>
      <c r="N35" s="242"/>
      <c r="O35" s="242"/>
    </row>
    <row r="36" spans="1:15">
      <c r="A36" s="341"/>
      <c r="B36" s="31">
        <f t="shared" ref="B36:B41" si="11">B37-1</f>
        <v>1992</v>
      </c>
      <c r="C36" s="125"/>
      <c r="D36" s="125"/>
      <c r="E36" s="125"/>
      <c r="F36" s="431">
        <f t="shared" ref="F36:I36" si="12">F15/INDEX($C$26:$L$26,MATCH($B36,$C$24:$L$24,0))</f>
        <v>0.99679157659409567</v>
      </c>
      <c r="G36" s="431">
        <f t="shared" si="12"/>
        <v>0.99719100891991441</v>
      </c>
      <c r="H36" s="431">
        <f t="shared" si="12"/>
        <v>0.99761232794851762</v>
      </c>
      <c r="I36" s="431">
        <f t="shared" si="12"/>
        <v>0.99792968513889413</v>
      </c>
      <c r="J36" s="332"/>
      <c r="K36" s="125"/>
      <c r="L36" s="125"/>
      <c r="M36" s="242"/>
      <c r="N36" s="242"/>
      <c r="O36" s="242"/>
    </row>
    <row r="37" spans="1:15">
      <c r="A37" s="341"/>
      <c r="B37" s="31">
        <f t="shared" si="11"/>
        <v>1993</v>
      </c>
      <c r="C37" s="125"/>
      <c r="D37" s="125"/>
      <c r="E37" s="431">
        <f t="shared" ref="E37:H37" si="13">E16/INDEX($C$26:$L$26,MATCH($B37,$C$24:$L$24,0))</f>
        <v>0.99580716469314023</v>
      </c>
      <c r="F37" s="431">
        <f t="shared" si="13"/>
        <v>0.99645617632864303</v>
      </c>
      <c r="G37" s="431">
        <f t="shared" si="13"/>
        <v>0.99698655142862391</v>
      </c>
      <c r="H37" s="431">
        <f t="shared" si="13"/>
        <v>0.99727965345756076</v>
      </c>
      <c r="I37" s="332"/>
      <c r="J37" s="125"/>
      <c r="K37" s="125"/>
      <c r="L37" s="125"/>
      <c r="M37" s="242"/>
      <c r="N37" s="242"/>
      <c r="O37" s="242"/>
    </row>
    <row r="38" spans="1:15">
      <c r="A38" s="341"/>
      <c r="B38" s="31">
        <f t="shared" si="11"/>
        <v>1994</v>
      </c>
      <c r="C38" s="125"/>
      <c r="D38" s="431">
        <f t="shared" ref="C38:E41" si="14">D17/INDEX($C$26:$L$26,MATCH($B38,$C$24:$L$24,0))</f>
        <v>0.99443963228002585</v>
      </c>
      <c r="E38" s="431">
        <f t="shared" ref="E38:G38" si="15">E17/INDEX($C$26:$L$26,MATCH($B38,$C$24:$L$24,0))</f>
        <v>0.99512065573567654</v>
      </c>
      <c r="F38" s="431">
        <f t="shared" si="15"/>
        <v>0.99594706622118534</v>
      </c>
      <c r="G38" s="431">
        <f t="shared" si="15"/>
        <v>0.99632966366818021</v>
      </c>
      <c r="H38" s="332"/>
      <c r="I38" s="125"/>
      <c r="J38" s="125"/>
      <c r="K38" s="125"/>
      <c r="L38" s="125"/>
      <c r="M38" s="242"/>
      <c r="N38" s="242"/>
      <c r="O38" s="242"/>
    </row>
    <row r="39" spans="1:15">
      <c r="A39" s="341"/>
      <c r="B39" s="31">
        <f t="shared" si="11"/>
        <v>1995</v>
      </c>
      <c r="C39" s="431">
        <f t="shared" si="14"/>
        <v>0.99276990558142153</v>
      </c>
      <c r="D39" s="431">
        <f t="shared" si="14"/>
        <v>0.99378096497605228</v>
      </c>
      <c r="E39" s="431">
        <f t="shared" ref="E39:F39" si="16">E18/INDEX($C$26:$L$26,MATCH($B39,$C$24:$L$24,0))</f>
        <v>0.99451254453802085</v>
      </c>
      <c r="F39" s="431">
        <f t="shared" si="16"/>
        <v>0.9950797241984235</v>
      </c>
      <c r="G39" s="332"/>
      <c r="H39" s="125"/>
      <c r="I39" s="125"/>
      <c r="J39" s="125"/>
      <c r="K39" s="125"/>
      <c r="L39" s="125"/>
      <c r="M39" s="242"/>
      <c r="N39" s="242"/>
      <c r="O39" s="242"/>
    </row>
    <row r="40" spans="1:15">
      <c r="A40" s="341"/>
      <c r="B40" s="31">
        <f t="shared" si="11"/>
        <v>1996</v>
      </c>
      <c r="C40" s="431">
        <f t="shared" si="14"/>
        <v>0.99254812717335061</v>
      </c>
      <c r="D40" s="431">
        <f t="shared" si="14"/>
        <v>0.99365764804341439</v>
      </c>
      <c r="E40" s="431">
        <f t="shared" si="14"/>
        <v>0.99424251175786671</v>
      </c>
      <c r="F40" s="332"/>
      <c r="G40" s="125"/>
      <c r="H40" s="125"/>
      <c r="I40" s="125"/>
      <c r="J40" s="125"/>
      <c r="K40" s="125"/>
      <c r="L40" s="125"/>
      <c r="M40" s="242"/>
      <c r="N40" s="242"/>
      <c r="O40" s="242"/>
    </row>
    <row r="41" spans="1:15">
      <c r="A41" s="341"/>
      <c r="B41" s="31">
        <f t="shared" si="11"/>
        <v>1997</v>
      </c>
      <c r="C41" s="431">
        <f t="shared" si="14"/>
        <v>0.99212714875815755</v>
      </c>
      <c r="D41" s="431">
        <f t="shared" ref="C41:D42" si="17">D20/INDEX($C$26:$L$26,MATCH($B41,$C$24:$L$24,0))</f>
        <v>0.99294173650704554</v>
      </c>
      <c r="E41" s="332"/>
      <c r="F41" s="125"/>
      <c r="G41" s="125"/>
      <c r="H41" s="125"/>
      <c r="I41" s="125"/>
      <c r="J41" s="125"/>
      <c r="K41" s="125"/>
      <c r="L41" s="125"/>
      <c r="M41" s="242"/>
      <c r="N41" s="242"/>
      <c r="O41" s="242"/>
    </row>
    <row r="42" spans="1:15">
      <c r="A42" s="341"/>
      <c r="B42" s="31">
        <f>$B$21</f>
        <v>1998</v>
      </c>
      <c r="C42" s="431">
        <f t="shared" si="17"/>
        <v>0.99147924322532199</v>
      </c>
      <c r="D42" s="332"/>
      <c r="E42" s="125"/>
      <c r="F42" s="125"/>
      <c r="G42" s="125"/>
      <c r="H42" s="125"/>
      <c r="I42" s="125"/>
      <c r="J42" s="125"/>
      <c r="K42" s="125"/>
      <c r="L42" s="125"/>
      <c r="M42" s="242"/>
      <c r="N42" s="242"/>
      <c r="O42" s="242"/>
    </row>
    <row r="43" spans="1:15">
      <c r="A43" s="341"/>
      <c r="B43" s="31"/>
      <c r="C43" s="332"/>
      <c r="D43" s="125"/>
      <c r="E43" s="125"/>
      <c r="F43" s="125"/>
      <c r="G43" s="125"/>
      <c r="H43" s="125"/>
      <c r="I43" s="125"/>
      <c r="J43" s="125"/>
      <c r="K43" s="125"/>
      <c r="L43" s="125"/>
      <c r="M43" s="242"/>
      <c r="N43" s="242"/>
      <c r="O43" s="242"/>
    </row>
    <row r="44" spans="1:15">
      <c r="A44" s="341"/>
      <c r="B44" s="31"/>
      <c r="C44" s="332"/>
      <c r="D44" s="125"/>
      <c r="E44" s="125"/>
      <c r="F44" s="125"/>
      <c r="G44" s="125"/>
      <c r="H44" s="125"/>
      <c r="I44" s="125"/>
      <c r="J44" s="125"/>
      <c r="K44" s="125"/>
      <c r="L44" s="125"/>
      <c r="M44" s="242"/>
      <c r="N44" s="242"/>
      <c r="O44" s="242"/>
    </row>
    <row r="45" spans="1:15">
      <c r="A45" s="341"/>
      <c r="B45" s="31"/>
      <c r="C45" s="332"/>
      <c r="D45" s="125"/>
      <c r="E45" s="125"/>
      <c r="F45" s="125"/>
      <c r="G45" s="125"/>
      <c r="H45" s="125"/>
      <c r="I45" s="125"/>
      <c r="J45" s="125"/>
      <c r="K45" s="125"/>
      <c r="L45" s="125"/>
      <c r="M45" s="242"/>
      <c r="N45" s="242"/>
      <c r="O45" s="242"/>
    </row>
    <row r="46" spans="1:15">
      <c r="A46" s="341"/>
      <c r="B46" s="31"/>
      <c r="C46" s="332"/>
      <c r="D46" s="125"/>
      <c r="E46" s="125"/>
      <c r="F46" s="125"/>
      <c r="G46" s="125"/>
      <c r="H46" s="125"/>
      <c r="I46" s="125"/>
      <c r="J46" s="125"/>
      <c r="K46" s="125"/>
      <c r="L46" s="125"/>
      <c r="M46" s="242"/>
      <c r="N46" s="242"/>
      <c r="O46" s="242"/>
    </row>
    <row r="47" spans="1:15">
      <c r="A47" s="341"/>
      <c r="B47" s="31"/>
      <c r="C47" s="332"/>
      <c r="D47" s="125"/>
      <c r="E47" s="125"/>
      <c r="F47" s="125"/>
      <c r="G47" s="125"/>
      <c r="H47" s="125"/>
      <c r="I47" s="125"/>
      <c r="J47" s="125"/>
      <c r="K47" s="125"/>
      <c r="L47" s="125"/>
      <c r="M47" s="242"/>
      <c r="N47" s="242"/>
      <c r="O47" s="242"/>
    </row>
    <row r="48" spans="1:15">
      <c r="A48" s="341"/>
      <c r="B48" s="31"/>
      <c r="C48" s="332"/>
      <c r="D48" s="125"/>
      <c r="E48" s="125"/>
      <c r="F48" s="125"/>
      <c r="G48" s="125"/>
      <c r="H48" s="125"/>
      <c r="I48" s="125"/>
      <c r="J48" s="125"/>
      <c r="K48" s="125"/>
      <c r="L48" s="125"/>
      <c r="M48" s="242"/>
      <c r="N48" s="242"/>
      <c r="O48" s="242"/>
    </row>
    <row r="49" spans="1:15">
      <c r="A49" s="341"/>
      <c r="B49" s="31"/>
      <c r="C49" s="332"/>
      <c r="D49" s="125"/>
      <c r="E49" s="125"/>
      <c r="F49" s="125"/>
      <c r="G49" s="125"/>
      <c r="H49" s="125"/>
      <c r="I49" s="125"/>
      <c r="J49" s="125"/>
      <c r="K49" s="125"/>
      <c r="L49" s="125"/>
      <c r="M49" s="242"/>
      <c r="N49" s="242"/>
      <c r="O49" s="242"/>
    </row>
    <row r="50" spans="1:15">
      <c r="A50" s="242"/>
      <c r="B50" s="242"/>
      <c r="C50" s="242"/>
      <c r="D50" s="242"/>
      <c r="E50" s="242"/>
      <c r="F50" s="242"/>
      <c r="G50" s="242"/>
      <c r="H50" s="242"/>
      <c r="I50" s="242"/>
      <c r="J50" s="242"/>
      <c r="K50" s="242"/>
      <c r="L50" s="242"/>
      <c r="M50" s="242"/>
      <c r="N50" s="242"/>
      <c r="O50" s="242"/>
    </row>
    <row r="51" spans="1:15">
      <c r="A51" s="333" t="s">
        <v>22</v>
      </c>
      <c r="B51" s="242" t="s">
        <v>386</v>
      </c>
      <c r="C51" s="242"/>
      <c r="D51" s="242"/>
      <c r="E51" s="242"/>
      <c r="F51" s="242"/>
      <c r="G51" s="242"/>
      <c r="H51" s="242"/>
      <c r="I51" s="242"/>
      <c r="J51" s="242"/>
      <c r="K51" s="242"/>
      <c r="L51" s="242"/>
      <c r="M51" s="242"/>
      <c r="N51" s="242"/>
      <c r="O51" s="242"/>
    </row>
    <row r="52" spans="1:15">
      <c r="A52" s="333" t="s">
        <v>28</v>
      </c>
      <c r="B52" s="242" t="s">
        <v>382</v>
      </c>
      <c r="C52" s="242"/>
      <c r="D52" s="242"/>
      <c r="E52" s="242"/>
      <c r="F52" s="242"/>
      <c r="G52" s="242"/>
      <c r="H52" s="242"/>
      <c r="I52" s="242"/>
      <c r="J52" s="242"/>
      <c r="K52" s="242"/>
      <c r="L52" s="242"/>
      <c r="M52" s="242"/>
      <c r="N52" s="242"/>
      <c r="O52" s="242"/>
    </row>
    <row r="53" spans="1:15">
      <c r="A53" s="242"/>
      <c r="B53" s="242"/>
      <c r="C53" s="242"/>
      <c r="D53" s="242"/>
      <c r="E53" s="242"/>
      <c r="F53" s="242"/>
      <c r="G53" s="242"/>
      <c r="H53" s="242"/>
      <c r="I53" s="242"/>
      <c r="J53" s="242"/>
      <c r="K53" s="242"/>
      <c r="L53" s="242"/>
      <c r="M53" s="242"/>
      <c r="N53" s="242"/>
      <c r="O53" s="242"/>
    </row>
    <row r="54" spans="1:15">
      <c r="A54" s="242"/>
      <c r="B54" s="242" t="s">
        <v>265</v>
      </c>
      <c r="C54" s="242"/>
      <c r="D54" s="242"/>
      <c r="E54" s="242"/>
      <c r="F54" s="242"/>
      <c r="G54" s="242"/>
      <c r="H54" s="242"/>
      <c r="I54" s="242"/>
      <c r="J54" s="242"/>
      <c r="K54" s="242"/>
      <c r="L54" s="242"/>
      <c r="M54" s="242"/>
      <c r="N54" s="242"/>
      <c r="O54" s="242"/>
    </row>
    <row r="55" spans="1:15">
      <c r="A55" s="242"/>
      <c r="B55" s="242"/>
      <c r="C55" s="242"/>
      <c r="D55" s="242"/>
      <c r="E55" s="242"/>
      <c r="F55" s="242"/>
      <c r="G55" s="242"/>
      <c r="H55" s="242"/>
      <c r="I55" s="242"/>
      <c r="J55" s="242"/>
      <c r="K55" s="242"/>
      <c r="L55" s="242"/>
      <c r="M55" s="46" t="s">
        <v>378</v>
      </c>
      <c r="N55" s="242"/>
      <c r="O55" s="242"/>
    </row>
    <row r="56" spans="1:15">
      <c r="A56" s="122" t="str">
        <f>A2</f>
        <v>Paid Loss Development Factors</v>
      </c>
      <c r="B56" s="122"/>
      <c r="C56" s="122"/>
      <c r="D56" s="122"/>
      <c r="E56" s="122"/>
      <c r="F56" s="122"/>
      <c r="G56" s="122"/>
      <c r="H56" s="122"/>
      <c r="I56" s="122"/>
      <c r="J56" s="122"/>
      <c r="K56" s="122"/>
      <c r="L56" s="122"/>
      <c r="M56" s="122"/>
      <c r="N56" s="242"/>
      <c r="O56" s="242"/>
    </row>
    <row r="57" spans="1:15">
      <c r="A57" s="122" t="str">
        <f>A3</f>
        <v>Adjusted for the Impact of Claim Settlement Rate</v>
      </c>
      <c r="B57" s="122"/>
      <c r="C57" s="122"/>
      <c r="D57" s="122"/>
      <c r="E57" s="122"/>
      <c r="F57" s="122"/>
      <c r="G57" s="122"/>
      <c r="H57" s="122"/>
      <c r="I57" s="122"/>
      <c r="J57" s="122"/>
      <c r="K57" s="122"/>
      <c r="L57" s="122"/>
      <c r="M57" s="122"/>
      <c r="N57" s="242"/>
      <c r="O57" s="242"/>
    </row>
    <row r="58" spans="1:15">
      <c r="A58" s="122" t="str">
        <f>A4</f>
        <v>Changes on Later Period Development</v>
      </c>
      <c r="B58" s="122"/>
      <c r="C58" s="122"/>
      <c r="D58" s="122"/>
      <c r="E58" s="122"/>
      <c r="F58" s="122"/>
      <c r="G58" s="122"/>
      <c r="H58" s="122"/>
      <c r="I58" s="122"/>
      <c r="J58" s="122"/>
      <c r="K58" s="122"/>
      <c r="L58" s="122"/>
      <c r="M58" s="122"/>
      <c r="N58" s="242"/>
      <c r="O58" s="242"/>
    </row>
    <row r="59" spans="1:15">
      <c r="A59" s="122"/>
      <c r="B59" s="122"/>
      <c r="C59" s="122"/>
      <c r="D59" s="122"/>
      <c r="E59" s="122"/>
      <c r="F59" s="122"/>
      <c r="G59" s="122"/>
      <c r="H59" s="122"/>
      <c r="I59" s="122"/>
      <c r="J59" s="122"/>
      <c r="K59" s="122"/>
      <c r="L59" s="122"/>
      <c r="M59" s="122"/>
      <c r="N59" s="242"/>
      <c r="O59" s="242"/>
    </row>
    <row r="60" spans="1:15">
      <c r="A60" s="122"/>
      <c r="B60" s="122"/>
      <c r="C60" s="122"/>
      <c r="D60" s="122"/>
      <c r="E60" s="122"/>
      <c r="F60" s="122"/>
      <c r="G60" s="122"/>
      <c r="H60" s="122"/>
      <c r="I60" s="122"/>
      <c r="J60" s="122"/>
      <c r="K60" s="122"/>
      <c r="L60" s="122"/>
      <c r="M60" s="122"/>
      <c r="N60" s="242"/>
      <c r="O60" s="242"/>
    </row>
    <row r="61" spans="1:15">
      <c r="A61" s="242"/>
      <c r="B61" s="242"/>
      <c r="C61" s="242"/>
      <c r="D61" s="242"/>
      <c r="E61" s="242"/>
      <c r="F61" s="242"/>
      <c r="G61" s="242"/>
      <c r="H61" s="242"/>
      <c r="I61" s="242"/>
      <c r="J61" s="242"/>
      <c r="K61" s="242"/>
      <c r="L61" s="242"/>
      <c r="M61" s="242"/>
      <c r="N61" s="242"/>
      <c r="O61" s="242"/>
    </row>
    <row r="62" spans="1:15">
      <c r="A62" s="340" t="s">
        <v>389</v>
      </c>
      <c r="B62" s="340"/>
      <c r="C62" s="340"/>
      <c r="D62" s="340"/>
      <c r="E62" s="340"/>
      <c r="F62" s="340"/>
      <c r="G62" s="340"/>
      <c r="H62" s="340"/>
      <c r="I62" s="340"/>
      <c r="J62" s="340"/>
      <c r="K62" s="340"/>
      <c r="L62" s="340"/>
      <c r="M62" s="242"/>
      <c r="N62" s="242"/>
      <c r="O62" s="242"/>
    </row>
    <row r="63" spans="1:15">
      <c r="A63" s="341"/>
      <c r="B63" s="341"/>
      <c r="C63" s="341"/>
      <c r="D63" s="341"/>
      <c r="E63" s="341"/>
      <c r="F63" s="341"/>
      <c r="G63" s="341"/>
      <c r="H63" s="341"/>
      <c r="I63" s="341"/>
      <c r="J63" s="341"/>
      <c r="K63" s="341"/>
      <c r="L63" s="341"/>
      <c r="M63" s="242"/>
      <c r="N63" s="242"/>
      <c r="O63" s="242"/>
    </row>
    <row r="64" spans="1:15">
      <c r="A64" s="341"/>
      <c r="B64" s="31" t="s">
        <v>192</v>
      </c>
      <c r="C64" s="124" t="s">
        <v>287</v>
      </c>
      <c r="D64" s="330"/>
      <c r="E64" s="330"/>
      <c r="F64" s="330"/>
      <c r="G64" s="330"/>
      <c r="H64" s="330"/>
      <c r="I64" s="330"/>
      <c r="J64" s="330"/>
      <c r="K64" s="330"/>
      <c r="L64" s="330"/>
      <c r="M64" s="242"/>
      <c r="N64" s="242"/>
      <c r="O64" s="242"/>
    </row>
    <row r="65" spans="1:15">
      <c r="A65" s="341"/>
      <c r="B65" s="33" t="s">
        <v>8</v>
      </c>
      <c r="C65" s="70" t="str">
        <f>C$11-12&amp;"-"&amp;C$11</f>
        <v>288-300</v>
      </c>
      <c r="D65" s="70" t="str">
        <f>C$11&amp;"-"&amp;D$11</f>
        <v>300-312</v>
      </c>
      <c r="E65" s="70" t="str">
        <f t="shared" ref="E65:L65" si="18">D$11&amp;"-"&amp;E$11</f>
        <v>312-324</v>
      </c>
      <c r="F65" s="70" t="str">
        <f t="shared" si="18"/>
        <v>324-336</v>
      </c>
      <c r="G65" s="70" t="str">
        <f t="shared" si="18"/>
        <v>336-348</v>
      </c>
      <c r="H65" s="70" t="str">
        <f t="shared" si="18"/>
        <v>348-360</v>
      </c>
      <c r="I65" s="70" t="str">
        <f t="shared" si="18"/>
        <v>360-372</v>
      </c>
      <c r="J65" s="70" t="str">
        <f t="shared" si="18"/>
        <v>372-384</v>
      </c>
      <c r="K65" s="70" t="str">
        <f t="shared" si="18"/>
        <v>384-396</v>
      </c>
      <c r="L65" s="70" t="str">
        <f t="shared" si="18"/>
        <v>396-408</v>
      </c>
      <c r="M65" s="242"/>
      <c r="N65" s="242"/>
      <c r="O65" s="242"/>
    </row>
    <row r="66" spans="1:15">
      <c r="A66" s="341"/>
      <c r="B66" s="31">
        <f t="shared" ref="B66:B68" si="19">B67-1</f>
        <v>1989</v>
      </c>
      <c r="C66" s="432"/>
      <c r="D66" s="432"/>
      <c r="E66" s="432"/>
      <c r="F66" s="432"/>
      <c r="G66" s="432"/>
      <c r="H66" s="432"/>
      <c r="I66" s="432"/>
      <c r="J66" s="432">
        <v>0.14130434782605922</v>
      </c>
      <c r="K66" s="432">
        <v>0.1392405063291004</v>
      </c>
      <c r="L66" s="331" t="s">
        <v>32</v>
      </c>
      <c r="M66" s="242"/>
      <c r="N66" s="242"/>
      <c r="O66" s="242"/>
    </row>
    <row r="67" spans="1:15">
      <c r="A67" s="341"/>
      <c r="B67" s="31">
        <f t="shared" si="19"/>
        <v>1990</v>
      </c>
      <c r="C67" s="432"/>
      <c r="D67" s="432"/>
      <c r="E67" s="432"/>
      <c r="F67" s="432"/>
      <c r="G67" s="432"/>
      <c r="H67" s="432"/>
      <c r="I67" s="432">
        <v>0.17051059142415284</v>
      </c>
      <c r="J67" s="432">
        <v>0.20029011010828252</v>
      </c>
      <c r="K67" s="432">
        <v>0.16806745441872972</v>
      </c>
      <c r="L67" s="275"/>
      <c r="M67" s="242"/>
      <c r="N67" s="242"/>
      <c r="O67" s="242"/>
    </row>
    <row r="68" spans="1:15">
      <c r="A68" s="341"/>
      <c r="B68" s="31">
        <f t="shared" si="19"/>
        <v>1991</v>
      </c>
      <c r="C68" s="432"/>
      <c r="D68" s="432"/>
      <c r="E68" s="432"/>
      <c r="F68" s="432"/>
      <c r="G68" s="432"/>
      <c r="H68" s="432">
        <v>0.12347136237689101</v>
      </c>
      <c r="I68" s="432">
        <v>0.15025497272102464</v>
      </c>
      <c r="J68" s="432">
        <v>9.0622093742862717E-2</v>
      </c>
      <c r="K68" s="432"/>
      <c r="L68" s="125"/>
      <c r="M68" s="242"/>
      <c r="N68" s="242"/>
      <c r="O68" s="242"/>
    </row>
    <row r="69" spans="1:15">
      <c r="A69" s="341"/>
      <c r="B69" s="31">
        <f t="shared" ref="B69:B74" si="20">B70-1</f>
        <v>1992</v>
      </c>
      <c r="C69" s="432"/>
      <c r="D69" s="432"/>
      <c r="E69" s="432"/>
      <c r="F69" s="432"/>
      <c r="G69" s="432">
        <v>0.12449489212791548</v>
      </c>
      <c r="H69" s="432">
        <v>0.14998945051486928</v>
      </c>
      <c r="I69" s="432">
        <v>0.13291489933865913</v>
      </c>
      <c r="J69" s="432"/>
      <c r="K69" s="432"/>
      <c r="L69" s="125"/>
      <c r="M69" s="242"/>
      <c r="N69" s="242"/>
      <c r="O69" s="242"/>
    </row>
    <row r="70" spans="1:15">
      <c r="A70" s="341"/>
      <c r="B70" s="31">
        <f t="shared" si="20"/>
        <v>1993</v>
      </c>
      <c r="C70" s="432"/>
      <c r="D70" s="432"/>
      <c r="E70" s="432"/>
      <c r="F70" s="432">
        <v>0.15479063402298837</v>
      </c>
      <c r="G70" s="432">
        <v>0.1496618198776796</v>
      </c>
      <c r="H70" s="432">
        <v>9.7264652770562399E-2</v>
      </c>
      <c r="I70" s="432"/>
      <c r="J70" s="432"/>
      <c r="K70" s="432"/>
      <c r="L70" s="125"/>
      <c r="M70" s="242"/>
      <c r="N70" s="242"/>
      <c r="O70" s="242"/>
    </row>
    <row r="71" spans="1:15">
      <c r="A71" s="341"/>
      <c r="B71" s="31">
        <f t="shared" si="20"/>
        <v>1994</v>
      </c>
      <c r="C71" s="432"/>
      <c r="D71" s="432"/>
      <c r="E71" s="432">
        <v>0.12247813273289292</v>
      </c>
      <c r="F71" s="432">
        <v>0.16936916944994135</v>
      </c>
      <c r="G71" s="432">
        <v>9.440012294174871E-2</v>
      </c>
      <c r="H71" s="432"/>
      <c r="I71" s="432"/>
      <c r="J71" s="432"/>
      <c r="K71" s="432"/>
      <c r="L71" s="125"/>
      <c r="M71" s="242"/>
      <c r="N71" s="242"/>
      <c r="O71" s="242"/>
    </row>
    <row r="72" spans="1:15">
      <c r="A72" s="341"/>
      <c r="B72" s="31">
        <f t="shared" si="20"/>
        <v>1995</v>
      </c>
      <c r="C72" s="432"/>
      <c r="D72" s="432">
        <v>0.13984041370645622</v>
      </c>
      <c r="E72" s="432">
        <v>0.11763554299846557</v>
      </c>
      <c r="F72" s="432">
        <v>0.10335931914754648</v>
      </c>
      <c r="G72" s="432"/>
      <c r="H72" s="432"/>
      <c r="I72" s="432"/>
      <c r="J72" s="432"/>
      <c r="K72" s="432"/>
      <c r="L72" s="125"/>
      <c r="M72" s="242"/>
      <c r="N72" s="242"/>
      <c r="O72" s="242"/>
    </row>
    <row r="73" spans="1:15">
      <c r="A73" s="341"/>
      <c r="B73" s="31">
        <f t="shared" si="20"/>
        <v>1996</v>
      </c>
      <c r="C73" s="432">
        <v>9.7875635871403119E-2</v>
      </c>
      <c r="D73" s="432">
        <v>0.1488915465781844</v>
      </c>
      <c r="E73" s="432">
        <v>9.2215587916880823E-2</v>
      </c>
      <c r="F73" s="432"/>
      <c r="G73" s="432"/>
      <c r="H73" s="432"/>
      <c r="I73" s="432"/>
      <c r="J73" s="432"/>
      <c r="K73" s="432"/>
      <c r="L73" s="125"/>
      <c r="M73" s="242"/>
      <c r="N73" s="242"/>
      <c r="O73" s="242"/>
    </row>
    <row r="74" spans="1:15">
      <c r="A74" s="341"/>
      <c r="B74" s="31">
        <f t="shared" si="20"/>
        <v>1997</v>
      </c>
      <c r="C74" s="432">
        <v>9.7995031634726157E-2</v>
      </c>
      <c r="D74" s="432">
        <v>0.1034679462198692</v>
      </c>
      <c r="E74" s="432"/>
      <c r="F74" s="432"/>
      <c r="G74" s="432"/>
      <c r="H74" s="432"/>
      <c r="I74" s="432"/>
      <c r="J74" s="432"/>
      <c r="K74" s="432"/>
      <c r="L74" s="125"/>
      <c r="M74" s="242"/>
      <c r="N74" s="242"/>
      <c r="O74" s="242"/>
    </row>
    <row r="75" spans="1:15">
      <c r="A75" s="341"/>
      <c r="B75" s="31">
        <f>$B$21</f>
        <v>1998</v>
      </c>
      <c r="C75" s="432">
        <v>8.6325268547170236E-2</v>
      </c>
      <c r="D75" s="432"/>
      <c r="E75" s="432"/>
      <c r="F75" s="432"/>
      <c r="G75" s="432"/>
      <c r="H75" s="432"/>
      <c r="I75" s="432"/>
      <c r="J75" s="432"/>
      <c r="K75" s="432"/>
      <c r="L75" s="125"/>
      <c r="M75" s="242"/>
      <c r="N75" s="242"/>
      <c r="O75" s="242"/>
    </row>
    <row r="76" spans="1:15">
      <c r="A76" s="341"/>
      <c r="B76" s="31">
        <f>$B$22</f>
        <v>1999</v>
      </c>
      <c r="C76" s="432"/>
      <c r="D76" s="432"/>
      <c r="E76" s="432"/>
      <c r="F76" s="432"/>
      <c r="G76" s="432"/>
      <c r="H76" s="432"/>
      <c r="I76" s="432"/>
      <c r="J76" s="432"/>
      <c r="K76" s="432"/>
      <c r="L76" s="125"/>
      <c r="M76" s="242"/>
      <c r="N76" s="242"/>
      <c r="O76" s="242"/>
    </row>
    <row r="77" spans="1:15">
      <c r="A77" s="341"/>
      <c r="B77" s="341"/>
      <c r="C77" s="341"/>
      <c r="D77" s="341"/>
      <c r="E77" s="341"/>
      <c r="F77" s="341"/>
      <c r="G77" s="341"/>
      <c r="H77" s="341"/>
      <c r="I77" s="341"/>
      <c r="J77" s="341"/>
      <c r="K77" s="341"/>
      <c r="L77" s="341"/>
      <c r="M77" s="242"/>
      <c r="N77" s="242"/>
      <c r="O77" s="242"/>
    </row>
    <row r="78" spans="1:15">
      <c r="A78" s="123"/>
      <c r="B78" s="199" t="s">
        <v>259</v>
      </c>
      <c r="C78" s="431">
        <f ca="1">AVERAGE(OFFSET(C$74:C$76,-COUNTA($C$65:C$65),0))</f>
        <v>9.4065312017766509E-2</v>
      </c>
      <c r="D78" s="431">
        <f ca="1">AVERAGE(OFFSET(D$74:D$76,-COUNTA($C$65:D$65),0))</f>
        <v>0.13073330216816995</v>
      </c>
      <c r="E78" s="431">
        <f ca="1">AVERAGE(OFFSET(E$74:E$76,-COUNTA($C$65:E$65),0))</f>
        <v>0.11077642121607978</v>
      </c>
      <c r="F78" s="431">
        <f ca="1">AVERAGE(OFFSET(F$74:F$76,-COUNTA($C$65:F$65),0))</f>
        <v>0.14250637420682541</v>
      </c>
      <c r="G78" s="431">
        <f ca="1">AVERAGE(OFFSET(G$74:G$76,-COUNTA($C$65:G$65),0))</f>
        <v>0.12285227831578127</v>
      </c>
      <c r="H78" s="431">
        <f ca="1">AVERAGE(OFFSET(H$74:H$76,-COUNTA($C$65:H$65),0))</f>
        <v>0.12357515522077422</v>
      </c>
      <c r="I78" s="431">
        <f ca="1">AVERAGE(OFFSET(I$74:I$76,-COUNTA($C$65:I$65),0))</f>
        <v>0.15122682116127886</v>
      </c>
      <c r="J78" s="431">
        <f ca="1">AVERAGE(OFFSET(J$74:J$76,-COUNTA($C$65:J$65),0))</f>
        <v>0.14407218389240148</v>
      </c>
      <c r="K78" s="431">
        <f ca="1">AVERAGE(OFFSET(K$74:K$76,-COUNTA($C$65:K$65),0))</f>
        <v>0.15365398037391506</v>
      </c>
      <c r="L78" s="332"/>
      <c r="M78" s="332"/>
      <c r="N78" s="242"/>
      <c r="O78" s="242"/>
    </row>
    <row r="79" spans="1:15">
      <c r="A79" s="123"/>
      <c r="B79" s="199"/>
      <c r="C79" s="332"/>
      <c r="D79" s="332"/>
      <c r="E79" s="332"/>
      <c r="F79" s="332"/>
      <c r="G79" s="332"/>
      <c r="H79" s="332"/>
      <c r="I79" s="332"/>
      <c r="J79" s="332"/>
      <c r="K79" s="332"/>
      <c r="L79" s="332"/>
      <c r="M79" s="332"/>
      <c r="N79" s="242"/>
      <c r="O79" s="242"/>
    </row>
    <row r="80" spans="1:15">
      <c r="A80" s="123"/>
      <c r="B80" s="199" t="s">
        <v>390</v>
      </c>
      <c r="C80" s="431">
        <f ca="1">1-C78</f>
        <v>0.90593468798223353</v>
      </c>
      <c r="D80" s="431">
        <f t="shared" ref="D80:K80" ca="1" si="21">1-D78</f>
        <v>0.86926669783183008</v>
      </c>
      <c r="E80" s="431">
        <f t="shared" ca="1" si="21"/>
        <v>0.88922357878392022</v>
      </c>
      <c r="F80" s="431">
        <f t="shared" ca="1" si="21"/>
        <v>0.85749362579317456</v>
      </c>
      <c r="G80" s="431">
        <f t="shared" ca="1" si="21"/>
        <v>0.87714772168421873</v>
      </c>
      <c r="H80" s="431">
        <f t="shared" ca="1" si="21"/>
        <v>0.87642484477922578</v>
      </c>
      <c r="I80" s="431">
        <f t="shared" ca="1" si="21"/>
        <v>0.84877317883872117</v>
      </c>
      <c r="J80" s="431">
        <f t="shared" ca="1" si="21"/>
        <v>0.85592781610759849</v>
      </c>
      <c r="K80" s="431">
        <f t="shared" ca="1" si="21"/>
        <v>0.84634601962608491</v>
      </c>
      <c r="L80" s="332"/>
      <c r="M80" s="332"/>
      <c r="N80" s="203"/>
      <c r="O80" s="203"/>
    </row>
    <row r="81" spans="1:15">
      <c r="A81" s="203"/>
      <c r="B81" s="203"/>
      <c r="C81" s="203"/>
      <c r="D81" s="203"/>
      <c r="E81" s="203"/>
      <c r="F81" s="203"/>
      <c r="G81" s="203"/>
      <c r="H81" s="203"/>
      <c r="I81" s="203"/>
      <c r="J81" s="203"/>
      <c r="K81" s="203"/>
      <c r="L81" s="203"/>
      <c r="M81" s="203"/>
      <c r="N81" s="203"/>
      <c r="O81" s="203"/>
    </row>
    <row r="82" spans="1:15">
      <c r="A82" s="203"/>
      <c r="B82" s="203"/>
      <c r="C82" s="203"/>
      <c r="D82" s="203"/>
      <c r="E82" s="203"/>
      <c r="F82" s="203"/>
      <c r="G82" s="203"/>
      <c r="H82" s="203"/>
      <c r="I82" s="203"/>
      <c r="J82" s="203"/>
      <c r="K82" s="203"/>
      <c r="L82" s="203"/>
      <c r="M82" s="203"/>
      <c r="N82" s="203"/>
      <c r="O82" s="203"/>
    </row>
    <row r="83" spans="1:15">
      <c r="A83" s="340" t="s">
        <v>395</v>
      </c>
      <c r="B83" s="340"/>
      <c r="C83" s="340"/>
      <c r="D83" s="340"/>
      <c r="E83" s="340"/>
      <c r="F83" s="340"/>
      <c r="G83" s="340"/>
      <c r="H83" s="340"/>
      <c r="I83" s="340"/>
      <c r="J83" s="340"/>
      <c r="K83" s="340"/>
      <c r="L83" s="340"/>
      <c r="M83" s="203"/>
      <c r="N83" s="203"/>
      <c r="O83" s="203"/>
    </row>
    <row r="84" spans="1:15">
      <c r="A84" s="341"/>
      <c r="B84" s="341"/>
      <c r="C84" s="341"/>
      <c r="D84" s="341"/>
      <c r="E84" s="341"/>
      <c r="F84" s="341"/>
      <c r="G84" s="341"/>
      <c r="H84" s="341"/>
      <c r="I84" s="341"/>
      <c r="J84" s="341"/>
      <c r="K84" s="341"/>
      <c r="L84" s="341"/>
      <c r="M84" s="203"/>
      <c r="N84" s="203"/>
      <c r="O84" s="203"/>
    </row>
    <row r="85" spans="1:15">
      <c r="A85" s="341"/>
      <c r="B85" s="31" t="s">
        <v>192</v>
      </c>
      <c r="C85" s="124" t="s">
        <v>287</v>
      </c>
      <c r="D85" s="330"/>
      <c r="E85" s="330"/>
      <c r="F85" s="330"/>
      <c r="G85" s="330"/>
      <c r="H85" s="330"/>
      <c r="I85" s="330"/>
      <c r="J85" s="330"/>
      <c r="K85" s="330"/>
      <c r="L85" s="203"/>
      <c r="M85" s="203"/>
      <c r="N85" s="203"/>
      <c r="O85" s="203"/>
    </row>
    <row r="86" spans="1:15">
      <c r="A86" s="341"/>
      <c r="B86" s="33" t="s">
        <v>8</v>
      </c>
      <c r="C86" s="70">
        <v>300</v>
      </c>
      <c r="D86" s="70">
        <v>312</v>
      </c>
      <c r="E86" s="70">
        <v>324</v>
      </c>
      <c r="F86" s="70">
        <v>336</v>
      </c>
      <c r="G86" s="70">
        <v>348</v>
      </c>
      <c r="H86" s="70">
        <v>360</v>
      </c>
      <c r="I86" s="70">
        <v>372</v>
      </c>
      <c r="J86" s="70">
        <v>384</v>
      </c>
      <c r="K86" s="70">
        <v>396</v>
      </c>
      <c r="L86" s="203"/>
      <c r="M86" s="203"/>
      <c r="N86" s="203"/>
      <c r="O86" s="203"/>
    </row>
    <row r="87" spans="1:15">
      <c r="A87" s="341"/>
      <c r="B87" s="31">
        <f t="shared" ref="B87:B89" si="22">B88-1</f>
        <v>1989</v>
      </c>
      <c r="C87" s="240"/>
      <c r="D87" s="240"/>
      <c r="E87" s="240"/>
      <c r="F87" s="240"/>
      <c r="G87" s="240"/>
      <c r="H87" s="240"/>
      <c r="I87" s="240"/>
      <c r="J87" s="240"/>
      <c r="K87" s="240"/>
      <c r="L87" s="203"/>
      <c r="M87" s="203"/>
      <c r="N87" s="203"/>
      <c r="O87" s="203"/>
    </row>
    <row r="88" spans="1:15">
      <c r="A88" s="341"/>
      <c r="B88" s="31">
        <f t="shared" si="22"/>
        <v>1990</v>
      </c>
      <c r="C88" s="240"/>
      <c r="D88" s="240"/>
      <c r="E88" s="240"/>
      <c r="F88" s="240"/>
      <c r="G88" s="240"/>
      <c r="H88" s="240"/>
      <c r="I88" s="240"/>
      <c r="J88" s="240"/>
      <c r="K88" s="433">
        <v>252.44958919272176</v>
      </c>
      <c r="L88" s="203"/>
      <c r="M88" s="203"/>
      <c r="N88" s="203"/>
      <c r="O88" s="203"/>
    </row>
    <row r="89" spans="1:15">
      <c r="A89" s="341"/>
      <c r="B89" s="31">
        <f t="shared" si="22"/>
        <v>1991</v>
      </c>
      <c r="C89" s="240"/>
      <c r="D89" s="240"/>
      <c r="E89" s="240"/>
      <c r="F89" s="240"/>
      <c r="G89" s="240"/>
      <c r="H89" s="240"/>
      <c r="I89" s="240"/>
      <c r="J89" s="433">
        <v>411.42830204695929</v>
      </c>
      <c r="K89" s="419">
        <v>348.21070579896258</v>
      </c>
      <c r="L89" s="203"/>
      <c r="M89" s="203"/>
      <c r="N89" s="203"/>
      <c r="O89" s="203"/>
    </row>
    <row r="90" spans="1:15">
      <c r="A90" s="341"/>
      <c r="B90" s="31">
        <f t="shared" ref="B90:B96" si="23">B91-1</f>
        <v>1992</v>
      </c>
      <c r="C90" s="240"/>
      <c r="D90" s="240"/>
      <c r="E90" s="240"/>
      <c r="F90" s="240"/>
      <c r="G90" s="240"/>
      <c r="H90" s="240"/>
      <c r="I90" s="433">
        <v>378.3694385549752</v>
      </c>
      <c r="J90" s="419">
        <v>323.85692722421811</v>
      </c>
      <c r="K90" s="419">
        <v>274.09502128455165</v>
      </c>
      <c r="L90" s="203"/>
      <c r="M90" s="203"/>
      <c r="N90" s="203"/>
      <c r="O90" s="203"/>
    </row>
    <row r="91" spans="1:15">
      <c r="A91" s="341"/>
      <c r="B91" s="31">
        <f t="shared" si="23"/>
        <v>1993</v>
      </c>
      <c r="C91" s="240"/>
      <c r="D91" s="240"/>
      <c r="E91" s="240"/>
      <c r="F91" s="240"/>
      <c r="G91" s="240"/>
      <c r="H91" s="433">
        <v>389.81154513629735</v>
      </c>
      <c r="I91" s="419">
        <v>330.86158431336872</v>
      </c>
      <c r="J91" s="419">
        <v>283.1936332952418</v>
      </c>
      <c r="K91" s="419">
        <v>239.67980432287698</v>
      </c>
      <c r="L91" s="203"/>
      <c r="M91" s="203"/>
      <c r="N91" s="203"/>
      <c r="O91" s="203"/>
    </row>
    <row r="92" spans="1:15">
      <c r="A92" s="341"/>
      <c r="B92" s="31">
        <f t="shared" si="23"/>
        <v>1994</v>
      </c>
      <c r="C92" s="240"/>
      <c r="D92" s="240"/>
      <c r="E92" s="240"/>
      <c r="F92" s="240"/>
      <c r="G92" s="433">
        <v>479.6603271465865</v>
      </c>
      <c r="H92" s="419">
        <v>420.38622776619974</v>
      </c>
      <c r="I92" s="419">
        <v>356.81255488113601</v>
      </c>
      <c r="J92" s="419">
        <v>305.40579085918336</v>
      </c>
      <c r="K92" s="419">
        <v>258.47897546442636</v>
      </c>
      <c r="L92" s="203"/>
      <c r="M92" s="203"/>
      <c r="N92" s="203"/>
      <c r="O92" s="203"/>
    </row>
    <row r="93" spans="1:15">
      <c r="A93" s="341"/>
      <c r="B93" s="31">
        <f t="shared" si="23"/>
        <v>1995</v>
      </c>
      <c r="C93" s="240"/>
      <c r="D93" s="240"/>
      <c r="E93" s="240"/>
      <c r="F93" s="433">
        <v>598.57405688318249</v>
      </c>
      <c r="G93" s="419">
        <v>525.0378702543635</v>
      </c>
      <c r="H93" s="419">
        <v>460.15623394089579</v>
      </c>
      <c r="I93" s="419">
        <v>390.56826944446834</v>
      </c>
      <c r="J93" s="419">
        <v>334.29824590652788</v>
      </c>
      <c r="K93" s="419">
        <v>282.93198979097195</v>
      </c>
      <c r="L93" s="203"/>
      <c r="M93" s="203"/>
      <c r="N93" s="203"/>
      <c r="O93" s="203"/>
    </row>
    <row r="94" spans="1:15">
      <c r="A94" s="341"/>
      <c r="B94" s="31">
        <f t="shared" si="23"/>
        <v>1996</v>
      </c>
      <c r="C94" s="240"/>
      <c r="D94" s="240"/>
      <c r="E94" s="433">
        <v>668.15162599622272</v>
      </c>
      <c r="F94" s="419">
        <v>572.93576035510614</v>
      </c>
      <c r="G94" s="419">
        <v>502.54929686689684</v>
      </c>
      <c r="H94" s="419">
        <v>440.44668950047912</v>
      </c>
      <c r="I94" s="419">
        <v>373.83933675631283</v>
      </c>
      <c r="J94" s="419">
        <v>319.97948708494397</v>
      </c>
      <c r="K94" s="419">
        <v>270.8133652563385</v>
      </c>
      <c r="L94" s="203"/>
      <c r="M94" s="203"/>
      <c r="N94" s="203"/>
      <c r="O94" s="203"/>
    </row>
    <row r="95" spans="1:15">
      <c r="A95" s="341"/>
      <c r="B95" s="31">
        <f t="shared" si="23"/>
        <v>1997</v>
      </c>
      <c r="C95" s="240"/>
      <c r="D95" s="433">
        <v>864.24373548055883</v>
      </c>
      <c r="E95" s="419">
        <v>768.50590740560619</v>
      </c>
      <c r="F95" s="419">
        <v>658.98891698470686</v>
      </c>
      <c r="G95" s="419">
        <v>578.0306271482865</v>
      </c>
      <c r="H95" s="419">
        <v>506.60040267607553</v>
      </c>
      <c r="I95" s="419">
        <v>429.98883418034876</v>
      </c>
      <c r="J95" s="419">
        <v>368.03940379063823</v>
      </c>
      <c r="K95" s="419">
        <v>311.48868446376406</v>
      </c>
      <c r="L95" s="203"/>
      <c r="M95" s="203"/>
      <c r="N95" s="203"/>
      <c r="O95" s="203"/>
    </row>
    <row r="96" spans="1:15">
      <c r="A96" s="341"/>
      <c r="B96" s="31">
        <f t="shared" si="23"/>
        <v>1998</v>
      </c>
      <c r="C96" s="433">
        <v>1132.4980264850019</v>
      </c>
      <c r="D96" s="419">
        <v>984.44281978368201</v>
      </c>
      <c r="E96" s="419">
        <v>875.38976731617959</v>
      </c>
      <c r="F96" s="419">
        <v>750.64114555819413</v>
      </c>
      <c r="G96" s="419">
        <v>658.42317062880215</v>
      </c>
      <c r="H96" s="419">
        <v>577.05842511739354</v>
      </c>
      <c r="I96" s="419">
        <v>489.79171386255621</v>
      </c>
      <c r="J96" s="419">
        <v>419.22635199397558</v>
      </c>
      <c r="K96" s="419">
        <v>354.81055433246519</v>
      </c>
      <c r="L96" s="203"/>
      <c r="M96" s="203"/>
      <c r="N96" s="203"/>
      <c r="O96" s="203"/>
    </row>
    <row r="97" spans="1:15">
      <c r="A97" s="341"/>
      <c r="B97" s="31">
        <v>1999</v>
      </c>
      <c r="C97" s="419">
        <v>1111.8673217813496</v>
      </c>
      <c r="D97" s="419">
        <v>966.50923523199469</v>
      </c>
      <c r="E97" s="419">
        <v>859.44280108070416</v>
      </c>
      <c r="F97" s="419">
        <v>736.96672366053485</v>
      </c>
      <c r="G97" s="419">
        <v>646.42868261592162</v>
      </c>
      <c r="H97" s="419">
        <v>566.54615782249834</v>
      </c>
      <c r="I97" s="419">
        <v>480.86918333386575</v>
      </c>
      <c r="J97" s="419">
        <v>411.5893099244002</v>
      </c>
      <c r="K97" s="419">
        <v>348.3469741751631</v>
      </c>
      <c r="L97" s="203"/>
      <c r="M97" s="203"/>
      <c r="N97" s="203"/>
      <c r="O97" s="203"/>
    </row>
    <row r="98" spans="1:15">
      <c r="A98" s="341"/>
      <c r="B98" s="31" t="s">
        <v>396</v>
      </c>
      <c r="C98" s="240"/>
      <c r="D98" s="240"/>
      <c r="E98" s="240"/>
      <c r="F98" s="240"/>
      <c r="G98" s="240"/>
      <c r="H98" s="240"/>
      <c r="I98" s="240"/>
      <c r="J98" s="240"/>
      <c r="K98" s="240"/>
      <c r="L98" s="203"/>
      <c r="M98" s="203"/>
      <c r="N98" s="203"/>
      <c r="O98" s="203"/>
    </row>
    <row r="99" spans="1:15">
      <c r="A99" s="341"/>
      <c r="B99" s="31">
        <v>2021</v>
      </c>
      <c r="C99" s="419">
        <v>471.59270281945123</v>
      </c>
      <c r="D99" s="419">
        <v>409.93983150145169</v>
      </c>
      <c r="E99" s="419">
        <v>364.52816405379821</v>
      </c>
      <c r="F99" s="419">
        <v>312.5805770982206</v>
      </c>
      <c r="G99" s="419">
        <v>274.17934104444248</v>
      </c>
      <c r="H99" s="419">
        <v>240.29758641654593</v>
      </c>
      <c r="I99" s="419">
        <v>203.95814629004403</v>
      </c>
      <c r="J99" s="419">
        <v>174.57345073139143</v>
      </c>
      <c r="K99" s="419">
        <v>147.7495451589036</v>
      </c>
      <c r="L99" s="203"/>
      <c r="M99" s="203"/>
      <c r="N99" s="203"/>
      <c r="O99" s="203"/>
    </row>
    <row r="100" spans="1:15">
      <c r="A100" s="203"/>
      <c r="B100" s="31">
        <f>B99+1</f>
        <v>2022</v>
      </c>
      <c r="C100" s="419">
        <v>504.38967342154621</v>
      </c>
      <c r="D100" s="419">
        <v>438.4491458356224</v>
      </c>
      <c r="E100" s="419">
        <v>389.87931857470522</v>
      </c>
      <c r="F100" s="419">
        <v>334.31903050639619</v>
      </c>
      <c r="G100" s="419">
        <v>293.24717592436218</v>
      </c>
      <c r="H100" s="419">
        <v>257.00911064145544</v>
      </c>
      <c r="I100" s="419">
        <v>218.14243982966079</v>
      </c>
      <c r="J100" s="419">
        <v>186.71418212378475</v>
      </c>
      <c r="K100" s="419">
        <v>158.02480484820512</v>
      </c>
      <c r="L100" s="203"/>
      <c r="M100" s="203"/>
      <c r="N100" s="203"/>
      <c r="O100" s="203"/>
    </row>
    <row r="101" spans="1:15">
      <c r="A101" s="203"/>
      <c r="B101" s="31"/>
      <c r="C101" s="240"/>
      <c r="D101" s="240"/>
      <c r="E101" s="240"/>
      <c r="F101" s="240"/>
      <c r="G101" s="240"/>
      <c r="H101" s="240"/>
      <c r="I101" s="240"/>
      <c r="J101" s="240"/>
      <c r="K101" s="240"/>
      <c r="L101" s="203"/>
      <c r="M101" s="203"/>
      <c r="N101" s="203"/>
      <c r="O101" s="203"/>
    </row>
    <row r="102" spans="1:15">
      <c r="A102" s="203"/>
      <c r="B102" s="31"/>
      <c r="C102" s="240"/>
      <c r="D102" s="240"/>
      <c r="E102" s="240"/>
      <c r="F102" s="240"/>
      <c r="G102" s="240"/>
      <c r="H102" s="240"/>
      <c r="I102" s="240"/>
      <c r="J102" s="240"/>
      <c r="K102" s="240"/>
      <c r="L102" s="240"/>
      <c r="M102" s="203"/>
      <c r="N102" s="203"/>
      <c r="O102" s="203"/>
    </row>
    <row r="103" spans="1:15">
      <c r="A103" s="203"/>
      <c r="B103" s="31"/>
      <c r="C103" s="240"/>
      <c r="D103" s="240"/>
      <c r="E103" s="240"/>
      <c r="F103" s="240"/>
      <c r="G103" s="240"/>
      <c r="H103" s="240"/>
      <c r="I103" s="240"/>
      <c r="J103" s="240"/>
      <c r="K103" s="240"/>
      <c r="L103" s="240"/>
      <c r="M103" s="203"/>
      <c r="N103" s="203"/>
      <c r="O103" s="203"/>
    </row>
    <row r="104" spans="1:15">
      <c r="A104" s="333" t="s">
        <v>38</v>
      </c>
      <c r="B104" s="242" t="s">
        <v>392</v>
      </c>
      <c r="C104" s="203"/>
      <c r="D104" s="203"/>
      <c r="E104" s="203"/>
      <c r="F104" s="203"/>
      <c r="G104" s="203"/>
      <c r="H104" s="203"/>
      <c r="I104" s="203"/>
      <c r="J104" s="203"/>
      <c r="K104" s="203"/>
      <c r="L104" s="203"/>
      <c r="M104" s="203"/>
      <c r="N104" s="203"/>
      <c r="O104" s="203"/>
    </row>
    <row r="105" spans="1:15">
      <c r="A105" s="203"/>
      <c r="B105" s="242" t="s">
        <v>393</v>
      </c>
      <c r="C105" s="203"/>
      <c r="D105" s="203"/>
      <c r="E105" s="203"/>
      <c r="F105" s="203"/>
      <c r="G105" s="203"/>
      <c r="H105" s="203"/>
      <c r="I105" s="203"/>
      <c r="J105" s="203"/>
      <c r="K105" s="203"/>
      <c r="L105" s="203"/>
      <c r="M105" s="203"/>
      <c r="N105" s="203"/>
      <c r="O105" s="203"/>
    </row>
    <row r="106" spans="1:15">
      <c r="A106" s="333" t="s">
        <v>57</v>
      </c>
      <c r="B106" s="242" t="s">
        <v>391</v>
      </c>
      <c r="C106" s="203"/>
      <c r="D106" s="203"/>
      <c r="E106" s="203"/>
      <c r="F106" s="203"/>
      <c r="G106" s="203"/>
      <c r="H106" s="203"/>
      <c r="I106" s="203"/>
      <c r="J106" s="203"/>
      <c r="K106" s="203"/>
      <c r="L106" s="203"/>
      <c r="M106" s="203"/>
      <c r="N106" s="203"/>
      <c r="O106" s="203"/>
    </row>
    <row r="107" spans="1:15">
      <c r="A107" s="333" t="s">
        <v>41</v>
      </c>
      <c r="B107" s="242" t="s">
        <v>416</v>
      </c>
      <c r="C107" s="203"/>
      <c r="D107" s="203"/>
      <c r="E107" s="203"/>
      <c r="F107" s="203"/>
      <c r="G107" s="203"/>
      <c r="H107" s="203"/>
      <c r="I107" s="203"/>
      <c r="J107" s="203"/>
      <c r="K107" s="203"/>
      <c r="L107" s="203"/>
      <c r="M107" s="203"/>
      <c r="N107" s="203"/>
      <c r="O107" s="203"/>
    </row>
    <row r="108" spans="1:15">
      <c r="A108" s="333"/>
      <c r="B108" s="242" t="s">
        <v>417</v>
      </c>
      <c r="C108" s="203"/>
      <c r="D108" s="203"/>
      <c r="E108" s="203"/>
      <c r="F108" s="203"/>
      <c r="G108" s="203"/>
      <c r="H108" s="203"/>
      <c r="I108" s="203"/>
      <c r="J108" s="203"/>
      <c r="K108" s="203"/>
      <c r="L108" s="203"/>
      <c r="M108" s="203"/>
      <c r="N108" s="203"/>
      <c r="O108" s="203"/>
    </row>
    <row r="109" spans="1:15">
      <c r="A109" s="333"/>
      <c r="B109" s="242" t="s">
        <v>418</v>
      </c>
      <c r="C109" s="203"/>
      <c r="D109" s="203"/>
      <c r="E109" s="203"/>
      <c r="F109" s="203"/>
      <c r="G109" s="203"/>
      <c r="H109" s="203"/>
      <c r="I109" s="203"/>
      <c r="J109" s="203"/>
      <c r="K109" s="203"/>
      <c r="L109" s="203"/>
      <c r="M109" s="203"/>
      <c r="N109" s="203"/>
      <c r="O109" s="203"/>
    </row>
    <row r="110" spans="1:15">
      <c r="A110" s="203"/>
      <c r="B110" s="203"/>
      <c r="C110" s="203"/>
      <c r="D110" s="203"/>
      <c r="E110" s="203"/>
      <c r="F110" s="203"/>
      <c r="G110" s="203"/>
      <c r="H110" s="203"/>
      <c r="I110" s="203"/>
      <c r="J110" s="203"/>
      <c r="K110" s="203"/>
      <c r="L110" s="203"/>
      <c r="M110" s="203"/>
      <c r="N110" s="203"/>
      <c r="O110" s="203"/>
    </row>
    <row r="111" spans="1:15">
      <c r="A111" s="203"/>
      <c r="B111" s="242" t="s">
        <v>265</v>
      </c>
      <c r="C111" s="203"/>
      <c r="D111" s="203"/>
      <c r="E111" s="203"/>
      <c r="F111" s="203"/>
      <c r="G111" s="203"/>
      <c r="H111" s="203"/>
      <c r="I111" s="203"/>
      <c r="J111" s="203"/>
      <c r="K111" s="203"/>
      <c r="L111" s="203"/>
      <c r="M111" s="203"/>
      <c r="N111" s="203"/>
      <c r="O111" s="203"/>
    </row>
    <row r="112" spans="1:15">
      <c r="A112" s="242"/>
      <c r="B112" s="242"/>
      <c r="C112" s="242"/>
      <c r="D112" s="242"/>
      <c r="E112" s="242"/>
      <c r="F112" s="242"/>
      <c r="G112" s="242"/>
      <c r="H112" s="242"/>
      <c r="I112" s="242"/>
      <c r="J112" s="242"/>
      <c r="K112" s="242"/>
      <c r="L112" s="242"/>
      <c r="M112" s="46" t="s">
        <v>379</v>
      </c>
      <c r="N112" s="242"/>
      <c r="O112" s="242"/>
    </row>
    <row r="113" spans="1:15">
      <c r="A113" s="122" t="str">
        <f>A2</f>
        <v>Paid Loss Development Factors</v>
      </c>
      <c r="B113" s="122"/>
      <c r="C113" s="122"/>
      <c r="D113" s="122"/>
      <c r="E113" s="122"/>
      <c r="F113" s="122"/>
      <c r="G113" s="122"/>
      <c r="H113" s="122"/>
      <c r="I113" s="122"/>
      <c r="J113" s="122"/>
      <c r="K113" s="122"/>
      <c r="L113" s="122"/>
      <c r="M113" s="122"/>
      <c r="N113" s="242"/>
      <c r="O113" s="242"/>
    </row>
    <row r="114" spans="1:15">
      <c r="A114" s="122" t="str">
        <f>A3</f>
        <v>Adjusted for the Impact of Claim Settlement Rate</v>
      </c>
      <c r="B114" s="122"/>
      <c r="C114" s="122"/>
      <c r="D114" s="122"/>
      <c r="E114" s="122"/>
      <c r="F114" s="122"/>
      <c r="G114" s="122"/>
      <c r="H114" s="122"/>
      <c r="I114" s="122"/>
      <c r="J114" s="122"/>
      <c r="K114" s="122"/>
      <c r="L114" s="122"/>
      <c r="M114" s="122"/>
      <c r="N114" s="242"/>
      <c r="O114" s="242"/>
    </row>
    <row r="115" spans="1:15">
      <c r="A115" s="122" t="str">
        <f>A4</f>
        <v>Changes on Later Period Development</v>
      </c>
      <c r="B115" s="122"/>
      <c r="C115" s="122"/>
      <c r="D115" s="122"/>
      <c r="E115" s="122"/>
      <c r="F115" s="122"/>
      <c r="G115" s="122"/>
      <c r="H115" s="122"/>
      <c r="I115" s="122"/>
      <c r="J115" s="122"/>
      <c r="K115" s="122"/>
      <c r="L115" s="122"/>
      <c r="M115" s="122"/>
      <c r="N115" s="242"/>
      <c r="O115" s="242"/>
    </row>
    <row r="116" spans="1:15">
      <c r="A116" s="122"/>
      <c r="B116" s="122"/>
      <c r="C116" s="122"/>
      <c r="D116" s="122"/>
      <c r="E116" s="122"/>
      <c r="F116" s="122"/>
      <c r="G116" s="122"/>
      <c r="H116" s="122"/>
      <c r="I116" s="122"/>
      <c r="J116" s="122"/>
      <c r="K116" s="122"/>
      <c r="L116" s="122"/>
      <c r="M116" s="122"/>
      <c r="N116" s="242"/>
      <c r="O116" s="242"/>
    </row>
    <row r="117" spans="1:15">
      <c r="A117" s="122"/>
      <c r="B117" s="122"/>
      <c r="C117" s="122"/>
      <c r="D117" s="122"/>
      <c r="E117" s="122"/>
      <c r="F117" s="122"/>
      <c r="G117" s="122"/>
      <c r="H117" s="122"/>
      <c r="I117" s="122"/>
      <c r="J117" s="122"/>
      <c r="K117" s="122"/>
      <c r="L117" s="122"/>
      <c r="M117" s="122"/>
      <c r="N117" s="242"/>
      <c r="O117" s="242"/>
    </row>
    <row r="118" spans="1:15">
      <c r="A118" s="242"/>
      <c r="B118" s="242"/>
      <c r="C118" s="242"/>
      <c r="D118" s="242"/>
      <c r="E118" s="242"/>
      <c r="F118" s="242"/>
      <c r="G118" s="242"/>
      <c r="H118" s="242"/>
      <c r="I118" s="242"/>
      <c r="J118" s="242"/>
      <c r="K118" s="242"/>
      <c r="L118" s="203"/>
      <c r="M118" s="242"/>
      <c r="N118" s="242"/>
      <c r="O118" s="242"/>
    </row>
    <row r="119" spans="1:15">
      <c r="A119" s="340" t="s">
        <v>400</v>
      </c>
      <c r="B119" s="340"/>
      <c r="C119" s="340"/>
      <c r="D119" s="340"/>
      <c r="E119" s="340"/>
      <c r="F119" s="340"/>
      <c r="G119" s="340"/>
      <c r="H119" s="340"/>
      <c r="I119" s="340"/>
      <c r="J119" s="340"/>
      <c r="K119" s="340"/>
      <c r="L119" s="203"/>
      <c r="M119" s="242"/>
      <c r="N119" s="242"/>
      <c r="O119" s="242"/>
    </row>
    <row r="120" spans="1:15">
      <c r="A120" s="341"/>
      <c r="B120" s="341"/>
      <c r="C120" s="341"/>
      <c r="D120" s="341"/>
      <c r="E120" s="341"/>
      <c r="F120" s="341"/>
      <c r="G120" s="341"/>
      <c r="H120" s="341"/>
      <c r="I120" s="341"/>
      <c r="J120" s="341"/>
      <c r="K120" s="341"/>
      <c r="L120" s="203"/>
      <c r="M120" s="242"/>
      <c r="N120" s="242"/>
      <c r="O120" s="242"/>
    </row>
    <row r="121" spans="1:15">
      <c r="A121" s="341"/>
      <c r="B121" s="31" t="s">
        <v>192</v>
      </c>
      <c r="C121" s="124" t="s">
        <v>287</v>
      </c>
      <c r="D121" s="330"/>
      <c r="E121" s="330"/>
      <c r="F121" s="330"/>
      <c r="G121" s="330"/>
      <c r="H121" s="330"/>
      <c r="I121" s="330"/>
      <c r="J121" s="330"/>
      <c r="K121" s="330"/>
      <c r="L121" s="203"/>
      <c r="M121" s="242"/>
      <c r="N121" s="242"/>
      <c r="O121" s="242"/>
    </row>
    <row r="122" spans="1:15">
      <c r="A122" s="341"/>
      <c r="B122" s="33" t="s">
        <v>8</v>
      </c>
      <c r="C122" s="70">
        <v>300</v>
      </c>
      <c r="D122" s="70">
        <v>312</v>
      </c>
      <c r="E122" s="70">
        <v>324</v>
      </c>
      <c r="F122" s="70">
        <v>336</v>
      </c>
      <c r="G122" s="70">
        <v>348</v>
      </c>
      <c r="H122" s="70">
        <v>360</v>
      </c>
      <c r="I122" s="70">
        <v>372</v>
      </c>
      <c r="J122" s="70">
        <v>384</v>
      </c>
      <c r="K122" s="70">
        <v>396</v>
      </c>
      <c r="L122" s="203"/>
      <c r="M122" s="242"/>
      <c r="N122" s="242"/>
      <c r="O122" s="242"/>
    </row>
    <row r="123" spans="1:15">
      <c r="A123" s="341"/>
      <c r="B123" s="31">
        <f t="shared" ref="B123:B125" si="24">B124-1</f>
        <v>1989</v>
      </c>
      <c r="C123" s="125"/>
      <c r="D123" s="125"/>
      <c r="E123" s="125"/>
      <c r="F123" s="125"/>
      <c r="G123" s="125"/>
      <c r="H123" s="125"/>
      <c r="I123" s="125"/>
      <c r="J123" s="434">
        <v>1.86861949230318E-3</v>
      </c>
      <c r="K123" s="434">
        <v>1.6084319680584333E-3</v>
      </c>
      <c r="L123" s="203"/>
      <c r="M123" s="242"/>
      <c r="N123" s="242"/>
      <c r="O123" s="242"/>
    </row>
    <row r="124" spans="1:15">
      <c r="A124" s="341"/>
      <c r="B124" s="31">
        <f t="shared" si="24"/>
        <v>1990</v>
      </c>
      <c r="C124" s="125"/>
      <c r="D124" s="125"/>
      <c r="E124" s="125"/>
      <c r="F124" s="125"/>
      <c r="G124" s="125"/>
      <c r="H124" s="125"/>
      <c r="I124" s="434">
        <v>1.6401293772212986E-3</v>
      </c>
      <c r="J124" s="434">
        <v>1.3116276836657376E-3</v>
      </c>
      <c r="K124" s="434">
        <v>1.0911857577269274E-3</v>
      </c>
      <c r="L124" s="203"/>
      <c r="M124" s="242"/>
      <c r="N124" s="242"/>
      <c r="O124" s="242"/>
    </row>
    <row r="125" spans="1:15">
      <c r="A125" s="341"/>
      <c r="B125" s="31">
        <f t="shared" si="24"/>
        <v>1991</v>
      </c>
      <c r="C125" s="125"/>
      <c r="D125" s="125"/>
      <c r="E125" s="125"/>
      <c r="F125" s="125"/>
      <c r="G125" s="125"/>
      <c r="H125" s="434">
        <v>2.2956478871390389E-3</v>
      </c>
      <c r="I125" s="434">
        <v>1.9507153764798694E-3</v>
      </c>
      <c r="J125" s="434">
        <v>1.7739374647668552E-3</v>
      </c>
      <c r="K125" s="432">
        <v>1.501364912371016E-3</v>
      </c>
      <c r="L125" s="203"/>
      <c r="M125" s="242"/>
      <c r="N125" s="242"/>
      <c r="O125" s="242"/>
    </row>
    <row r="126" spans="1:15">
      <c r="A126" s="341"/>
      <c r="B126" s="31">
        <f t="shared" ref="B126:B131" si="25">B127-1</f>
        <v>1992</v>
      </c>
      <c r="C126" s="125"/>
      <c r="D126" s="125"/>
      <c r="E126" s="125"/>
      <c r="F126" s="125"/>
      <c r="G126" s="434">
        <v>2.8089910800856298E-3</v>
      </c>
      <c r="H126" s="434">
        <v>2.3876720514823496E-3</v>
      </c>
      <c r="I126" s="434">
        <v>2.070314861105853E-3</v>
      </c>
      <c r="J126" s="432">
        <v>1.7720400777214388E-3</v>
      </c>
      <c r="K126" s="432">
        <v>1.4997590663974379E-3</v>
      </c>
      <c r="L126" s="203"/>
      <c r="M126" s="242"/>
      <c r="N126" s="242"/>
      <c r="O126" s="242"/>
    </row>
    <row r="127" spans="1:15">
      <c r="A127" s="341"/>
      <c r="B127" s="31">
        <f t="shared" si="25"/>
        <v>1993</v>
      </c>
      <c r="C127" s="125"/>
      <c r="D127" s="125"/>
      <c r="E127" s="125"/>
      <c r="F127" s="434">
        <v>3.543823671357021E-3</v>
      </c>
      <c r="G127" s="434">
        <v>3.0134485713760924E-3</v>
      </c>
      <c r="H127" s="434">
        <v>2.7203465424392634E-3</v>
      </c>
      <c r="I127" s="432">
        <v>2.3089571823690976E-3</v>
      </c>
      <c r="J127" s="432">
        <v>1.9763006785911358E-3</v>
      </c>
      <c r="K127" s="432">
        <v>1.6726342129099383E-3</v>
      </c>
      <c r="L127" s="203"/>
      <c r="M127" s="242"/>
      <c r="N127" s="242"/>
      <c r="O127" s="242"/>
    </row>
    <row r="128" spans="1:15">
      <c r="A128" s="341"/>
      <c r="B128" s="31">
        <f t="shared" si="25"/>
        <v>1994</v>
      </c>
      <c r="C128" s="125"/>
      <c r="D128" s="125"/>
      <c r="E128" s="434">
        <v>4.8793442643234588E-3</v>
      </c>
      <c r="F128" s="434">
        <v>4.0529337788146229E-3</v>
      </c>
      <c r="G128" s="434">
        <v>3.6703363318197919E-3</v>
      </c>
      <c r="H128" s="432">
        <v>3.2167739499027142E-3</v>
      </c>
      <c r="I128" s="432">
        <v>2.7303114510645156E-3</v>
      </c>
      <c r="J128" s="432">
        <v>2.336949517603219E-3</v>
      </c>
      <c r="K128" s="432">
        <v>1.9778679222905837E-3</v>
      </c>
      <c r="L128" s="203"/>
      <c r="M128" s="242"/>
      <c r="N128" s="242"/>
      <c r="O128" s="242"/>
    </row>
    <row r="129" spans="1:15">
      <c r="A129" s="341"/>
      <c r="B129" s="31">
        <f t="shared" si="25"/>
        <v>1995</v>
      </c>
      <c r="C129" s="125"/>
      <c r="D129" s="434">
        <v>6.2190350239477105E-3</v>
      </c>
      <c r="E129" s="434">
        <v>5.4874554619792027E-3</v>
      </c>
      <c r="F129" s="434">
        <v>4.9202758015765326E-3</v>
      </c>
      <c r="G129" s="432">
        <v>4.3158087094108486E-3</v>
      </c>
      <c r="H129" s="432">
        <v>3.7824819782422336E-3</v>
      </c>
      <c r="I129" s="432">
        <v>3.2104692525728347E-3</v>
      </c>
      <c r="J129" s="432">
        <v>2.7479299360352607E-3</v>
      </c>
      <c r="K129" s="432">
        <v>2.3256995635748045E-3</v>
      </c>
      <c r="L129" s="203"/>
      <c r="M129" s="242"/>
      <c r="N129" s="242"/>
      <c r="O129" s="242"/>
    </row>
    <row r="130" spans="1:15">
      <c r="A130" s="341"/>
      <c r="B130" s="31">
        <f t="shared" si="25"/>
        <v>1996</v>
      </c>
      <c r="C130" s="434">
        <v>7.451872826649367E-3</v>
      </c>
      <c r="D130" s="434">
        <v>6.342351956585621E-3</v>
      </c>
      <c r="E130" s="434">
        <v>5.7574882421333427E-3</v>
      </c>
      <c r="F130" s="432">
        <v>4.9370094682084911E-3</v>
      </c>
      <c r="G130" s="432">
        <v>4.3304866069724937E-3</v>
      </c>
      <c r="H130" s="432">
        <v>3.795346052334384E-3</v>
      </c>
      <c r="I130" s="432">
        <v>3.2213879336328464E-3</v>
      </c>
      <c r="J130" s="432">
        <v>2.7572755388697318E-3</v>
      </c>
      <c r="K130" s="432">
        <v>2.3336091773347653E-3</v>
      </c>
      <c r="L130" s="203"/>
      <c r="M130" s="242"/>
      <c r="N130" s="242"/>
      <c r="O130" s="242"/>
    </row>
    <row r="131" spans="1:15">
      <c r="A131" s="341"/>
      <c r="B131" s="31">
        <f t="shared" si="25"/>
        <v>1997</v>
      </c>
      <c r="C131" s="434">
        <v>7.8728512418424594E-3</v>
      </c>
      <c r="D131" s="434">
        <v>7.0582634929544485E-3</v>
      </c>
      <c r="E131" s="432">
        <v>6.2763743232048478E-3</v>
      </c>
      <c r="F131" s="432">
        <v>5.3819509752401065E-3</v>
      </c>
      <c r="G131" s="432">
        <v>4.720766036148019E-3</v>
      </c>
      <c r="H131" s="432">
        <v>4.1373966404700691E-3</v>
      </c>
      <c r="I131" s="432">
        <v>3.5117112986484253E-3</v>
      </c>
      <c r="J131" s="432">
        <v>3.0057713826525255E-3</v>
      </c>
      <c r="K131" s="432">
        <v>2.5439226456139582E-3</v>
      </c>
      <c r="L131" s="203"/>
      <c r="M131" s="242"/>
      <c r="N131" s="242"/>
      <c r="O131" s="242"/>
    </row>
    <row r="132" spans="1:15">
      <c r="A132" s="341"/>
      <c r="B132" s="31">
        <f>$B$21</f>
        <v>1998</v>
      </c>
      <c r="C132" s="434">
        <v>8.5207567746780222E-3</v>
      </c>
      <c r="D132" s="432">
        <v>7.4068101045525582E-3</v>
      </c>
      <c r="E132" s="432">
        <v>6.5863101885431288E-3</v>
      </c>
      <c r="F132" s="432">
        <v>5.6477190041723741E-3</v>
      </c>
      <c r="G132" s="432">
        <v>4.9538838572224632E-3</v>
      </c>
      <c r="H132" s="432">
        <v>4.3417068906205095E-3</v>
      </c>
      <c r="I132" s="432">
        <v>3.6851243591379491E-3</v>
      </c>
      <c r="J132" s="432">
        <v>3.1542004448018588E-3</v>
      </c>
      <c r="K132" s="432">
        <v>2.6695449915608792E-3</v>
      </c>
      <c r="L132" s="203"/>
      <c r="M132" s="242"/>
      <c r="N132" s="242"/>
      <c r="O132" s="242"/>
    </row>
    <row r="133" spans="1:15">
      <c r="A133" s="341"/>
      <c r="B133" s="31">
        <f>$B$22</f>
        <v>1999</v>
      </c>
      <c r="C133" s="432">
        <v>8.2602036996749558E-3</v>
      </c>
      <c r="D133" s="432">
        <v>7.1803199934347157E-3</v>
      </c>
      <c r="E133" s="432">
        <v>6.3849098413757523E-3</v>
      </c>
      <c r="F133" s="432">
        <v>5.4750194902438154E-3</v>
      </c>
      <c r="G133" s="432">
        <v>4.8024008720440568E-3</v>
      </c>
      <c r="H133" s="432">
        <v>4.2089434388488303E-3</v>
      </c>
      <c r="I133" s="432">
        <v>3.5724383021441004E-3</v>
      </c>
      <c r="J133" s="432">
        <v>3.0577493141333376E-3</v>
      </c>
      <c r="K133" s="432">
        <v>2.5879139610311408E-3</v>
      </c>
      <c r="L133" s="203"/>
      <c r="M133" s="242"/>
      <c r="N133" s="242"/>
      <c r="O133" s="242"/>
    </row>
    <row r="134" spans="1:15">
      <c r="A134" s="341"/>
      <c r="B134" s="31" t="s">
        <v>396</v>
      </c>
      <c r="C134" s="332"/>
      <c r="D134" s="332"/>
      <c r="E134" s="332"/>
      <c r="F134" s="332"/>
      <c r="G134" s="332"/>
      <c r="H134" s="332"/>
      <c r="I134" s="332"/>
      <c r="J134" s="332"/>
      <c r="K134" s="332"/>
      <c r="L134" s="203"/>
      <c r="M134" s="242"/>
      <c r="N134" s="242"/>
      <c r="O134" s="242"/>
    </row>
    <row r="135" spans="1:15">
      <c r="A135" s="341"/>
      <c r="B135" s="31">
        <v>2021</v>
      </c>
      <c r="C135" s="432">
        <v>3.1488376297096601E-3</v>
      </c>
      <c r="D135" s="432">
        <v>2.7371796883863212E-3</v>
      </c>
      <c r="E135" s="432">
        <v>2.4339647182815408E-3</v>
      </c>
      <c r="F135" s="432">
        <v>2.0871092313319013E-3</v>
      </c>
      <c r="G135" s="432">
        <v>1.8307031071688783E-3</v>
      </c>
      <c r="H135" s="432">
        <v>1.6044736865373306E-3</v>
      </c>
      <c r="I135" s="432">
        <v>1.3618342312853721E-3</v>
      </c>
      <c r="J135" s="432">
        <v>1.1656317994846585E-3</v>
      </c>
      <c r="K135" s="432">
        <v>9.8652783384343165E-4</v>
      </c>
      <c r="L135" s="203"/>
      <c r="M135" s="242"/>
      <c r="N135" s="242"/>
      <c r="O135" s="242"/>
    </row>
    <row r="136" spans="1:15">
      <c r="A136" s="341"/>
      <c r="B136" s="31">
        <f>B135+1</f>
        <v>2022</v>
      </c>
      <c r="C136" s="432">
        <v>3.201565631151228E-3</v>
      </c>
      <c r="D136" s="432">
        <v>2.7830143840827052E-3</v>
      </c>
      <c r="E136" s="432">
        <v>2.4747220104211513E-3</v>
      </c>
      <c r="F136" s="432">
        <v>2.1220583495462075E-3</v>
      </c>
      <c r="G136" s="432">
        <v>1.8613586465854291E-3</v>
      </c>
      <c r="H136" s="432">
        <v>1.6313409629121044E-3</v>
      </c>
      <c r="I136" s="432">
        <v>1.3846384548607275E-3</v>
      </c>
      <c r="J136" s="432">
        <v>1.185150568767542E-3</v>
      </c>
      <c r="K136" s="432">
        <v>1.0030474665339998E-3</v>
      </c>
      <c r="L136" s="203"/>
      <c r="M136" s="242"/>
      <c r="N136" s="242"/>
      <c r="O136" s="242"/>
    </row>
    <row r="137" spans="1:15">
      <c r="A137" s="203"/>
      <c r="B137" s="199"/>
      <c r="C137" s="70"/>
      <c r="D137" s="70"/>
      <c r="E137" s="70"/>
      <c r="F137" s="70"/>
      <c r="G137" s="70"/>
      <c r="H137" s="70"/>
      <c r="I137" s="70"/>
      <c r="J137" s="70"/>
      <c r="K137" s="70"/>
      <c r="L137" s="203"/>
      <c r="M137" s="203"/>
      <c r="N137" s="203"/>
      <c r="O137" s="203"/>
    </row>
    <row r="138" spans="1:15">
      <c r="A138" s="203"/>
      <c r="B138" s="199" t="s">
        <v>380</v>
      </c>
      <c r="C138" s="435">
        <f>AVERAGE(C130:C132)</f>
        <v>7.9484936143899496E-3</v>
      </c>
      <c r="D138" s="435">
        <f>AVERAGE(D129:D131)</f>
        <v>6.539883491162593E-3</v>
      </c>
      <c r="E138" s="435">
        <f>AVERAGE(E128:E130)</f>
        <v>5.3747626561453351E-3</v>
      </c>
      <c r="F138" s="435">
        <f>AVERAGE(F127:F129)</f>
        <v>4.1723444172493919E-3</v>
      </c>
      <c r="G138" s="435">
        <f>AVERAGE(G126:G128)</f>
        <v>3.1642586610938377E-3</v>
      </c>
      <c r="H138" s="435">
        <f>AVERAGE(H125:H127)</f>
        <v>2.4678888270202176E-3</v>
      </c>
      <c r="I138" s="435">
        <f>AVERAGE(I124:I126)</f>
        <v>1.8870532049356738E-3</v>
      </c>
      <c r="J138" s="435">
        <f>AVERAGE(J123:J125)</f>
        <v>1.6513948802452576E-3</v>
      </c>
      <c r="K138" s="435">
        <f>AVERAGE(K123:K124)</f>
        <v>1.3498088628926804E-3</v>
      </c>
      <c r="L138" s="203"/>
      <c r="M138" s="203"/>
      <c r="N138" s="203"/>
      <c r="O138" s="203"/>
    </row>
    <row r="139" spans="1:15">
      <c r="A139" s="203"/>
      <c r="B139" s="203"/>
      <c r="C139" s="203"/>
      <c r="D139" s="203"/>
      <c r="E139" s="203"/>
      <c r="F139" s="203"/>
      <c r="G139" s="203"/>
      <c r="H139" s="203"/>
      <c r="I139" s="203"/>
      <c r="J139" s="203"/>
      <c r="K139" s="203"/>
      <c r="L139" s="203"/>
      <c r="M139" s="203"/>
      <c r="N139" s="203"/>
      <c r="O139" s="203"/>
    </row>
    <row r="140" spans="1:15">
      <c r="A140" s="203"/>
      <c r="B140" s="203"/>
      <c r="C140" s="203"/>
      <c r="D140" s="203"/>
      <c r="E140" s="203"/>
      <c r="F140" s="203"/>
      <c r="G140" s="203"/>
      <c r="H140" s="203"/>
      <c r="I140" s="203"/>
      <c r="J140" s="203"/>
      <c r="K140" s="203"/>
      <c r="L140" s="203"/>
      <c r="M140" s="203"/>
      <c r="N140" s="203"/>
      <c r="O140" s="203"/>
    </row>
    <row r="141" spans="1:15">
      <c r="A141" s="340" t="s">
        <v>401</v>
      </c>
      <c r="B141" s="340"/>
      <c r="C141" s="340"/>
      <c r="D141" s="340"/>
      <c r="E141" s="340"/>
      <c r="F141" s="340"/>
      <c r="G141" s="340"/>
      <c r="H141" s="340"/>
      <c r="I141" s="340"/>
      <c r="J141" s="340"/>
      <c r="K141" s="340"/>
      <c r="L141" s="203"/>
      <c r="M141" s="203"/>
      <c r="N141" s="203"/>
      <c r="O141" s="203"/>
    </row>
    <row r="142" spans="1:15">
      <c r="A142" s="341"/>
      <c r="B142" s="341"/>
      <c r="C142" s="341"/>
      <c r="D142" s="341"/>
      <c r="E142" s="341"/>
      <c r="F142" s="341"/>
      <c r="G142" s="341"/>
      <c r="H142" s="341"/>
      <c r="I142" s="341"/>
      <c r="J142" s="341"/>
      <c r="K142" s="341"/>
      <c r="L142" s="203"/>
      <c r="M142" s="203"/>
      <c r="N142" s="203"/>
      <c r="O142" s="203"/>
    </row>
    <row r="143" spans="1:15">
      <c r="A143" s="341"/>
      <c r="B143" s="31" t="s">
        <v>192</v>
      </c>
      <c r="C143" s="124" t="s">
        <v>287</v>
      </c>
      <c r="D143" s="330"/>
      <c r="E143" s="330"/>
      <c r="F143" s="330"/>
      <c r="G143" s="330"/>
      <c r="H143" s="330"/>
      <c r="I143" s="330"/>
      <c r="J143" s="330"/>
      <c r="K143" s="330"/>
      <c r="L143" s="203"/>
      <c r="M143" s="203"/>
      <c r="N143" s="203"/>
      <c r="O143" s="203"/>
    </row>
    <row r="144" spans="1:15">
      <c r="A144" s="341"/>
      <c r="B144" s="33" t="s">
        <v>8</v>
      </c>
      <c r="C144" s="70">
        <v>300</v>
      </c>
      <c r="D144" s="70">
        <v>312</v>
      </c>
      <c r="E144" s="70">
        <v>324</v>
      </c>
      <c r="F144" s="70">
        <v>336</v>
      </c>
      <c r="G144" s="70">
        <v>348</v>
      </c>
      <c r="H144" s="70">
        <v>360</v>
      </c>
      <c r="I144" s="70">
        <v>372</v>
      </c>
      <c r="J144" s="70">
        <v>384</v>
      </c>
      <c r="K144" s="70">
        <v>396</v>
      </c>
      <c r="L144" s="203"/>
      <c r="M144" s="203"/>
      <c r="N144" s="203"/>
      <c r="O144" s="203"/>
    </row>
    <row r="145" spans="1:15">
      <c r="A145" s="341"/>
      <c r="B145" s="31">
        <f t="shared" ref="B145:B153" si="26">B146-1</f>
        <v>1989</v>
      </c>
      <c r="C145" s="334"/>
      <c r="D145" s="334"/>
      <c r="E145" s="334"/>
      <c r="F145" s="334"/>
      <c r="G145" s="334"/>
      <c r="H145" s="334"/>
      <c r="I145" s="334"/>
      <c r="J145" s="334"/>
      <c r="K145" s="334"/>
      <c r="L145" s="203"/>
      <c r="M145" s="203"/>
      <c r="N145" s="203"/>
      <c r="O145" s="203"/>
    </row>
    <row r="146" spans="1:15">
      <c r="A146" s="341"/>
      <c r="B146" s="31">
        <f t="shared" si="26"/>
        <v>1990</v>
      </c>
      <c r="C146" s="334"/>
      <c r="D146" s="334"/>
      <c r="E146" s="334"/>
      <c r="F146" s="334"/>
      <c r="G146" s="334"/>
      <c r="H146" s="334"/>
      <c r="I146" s="334"/>
      <c r="J146" s="334"/>
      <c r="K146" s="334"/>
      <c r="L146" s="203"/>
      <c r="M146" s="203"/>
      <c r="N146" s="203"/>
      <c r="O146" s="203"/>
    </row>
    <row r="147" spans="1:15">
      <c r="A147" s="341"/>
      <c r="B147" s="31">
        <f t="shared" si="26"/>
        <v>1991</v>
      </c>
      <c r="C147" s="436"/>
      <c r="D147" s="436"/>
      <c r="E147" s="436"/>
      <c r="F147" s="436"/>
      <c r="G147" s="436"/>
      <c r="H147" s="436"/>
      <c r="I147" s="436"/>
      <c r="J147" s="436"/>
      <c r="K147" s="437">
        <f t="shared" ref="D147:K155" si="27">K125/K$138</f>
        <v>1.1122796372469703</v>
      </c>
      <c r="L147" s="203"/>
      <c r="M147" s="203"/>
      <c r="N147" s="203"/>
      <c r="O147" s="203"/>
    </row>
    <row r="148" spans="1:15">
      <c r="A148" s="341"/>
      <c r="B148" s="31">
        <f t="shared" si="26"/>
        <v>1992</v>
      </c>
      <c r="C148" s="436"/>
      <c r="D148" s="436"/>
      <c r="E148" s="436"/>
      <c r="F148" s="436"/>
      <c r="G148" s="436"/>
      <c r="H148" s="436"/>
      <c r="I148" s="436"/>
      <c r="J148" s="437">
        <f t="shared" si="27"/>
        <v>1.0730565408185495</v>
      </c>
      <c r="K148" s="437">
        <f t="shared" si="27"/>
        <v>1.1110899532719098</v>
      </c>
      <c r="L148" s="203"/>
      <c r="M148" s="203"/>
      <c r="N148" s="203"/>
      <c r="O148" s="203"/>
    </row>
    <row r="149" spans="1:15">
      <c r="A149" s="341"/>
      <c r="B149" s="31">
        <f t="shared" si="26"/>
        <v>1993</v>
      </c>
      <c r="C149" s="436"/>
      <c r="D149" s="436"/>
      <c r="E149" s="436"/>
      <c r="F149" s="436"/>
      <c r="G149" s="436"/>
      <c r="H149" s="436"/>
      <c r="I149" s="437">
        <f t="shared" si="27"/>
        <v>1.2235782098405676</v>
      </c>
      <c r="J149" s="437">
        <f t="shared" si="27"/>
        <v>1.1967462793015471</v>
      </c>
      <c r="K149" s="437">
        <f t="shared" si="27"/>
        <v>1.2391637504331048</v>
      </c>
      <c r="L149" s="203"/>
      <c r="M149" s="203"/>
      <c r="N149" s="203"/>
      <c r="O149" s="203"/>
    </row>
    <row r="150" spans="1:15">
      <c r="A150" s="341"/>
      <c r="B150" s="31">
        <f t="shared" si="26"/>
        <v>1994</v>
      </c>
      <c r="C150" s="436"/>
      <c r="D150" s="436"/>
      <c r="E150" s="436"/>
      <c r="F150" s="436"/>
      <c r="G150" s="436"/>
      <c r="H150" s="437">
        <f t="shared" si="27"/>
        <v>1.3034517254923175</v>
      </c>
      <c r="I150" s="437">
        <f t="shared" si="27"/>
        <v>1.4468651143079916</v>
      </c>
      <c r="J150" s="437">
        <f t="shared" si="27"/>
        <v>1.4151367099164955</v>
      </c>
      <c r="K150" s="437">
        <f t="shared" si="27"/>
        <v>1.465294810742281</v>
      </c>
      <c r="L150" s="203"/>
      <c r="M150" s="203"/>
      <c r="N150" s="203"/>
      <c r="O150" s="203"/>
    </row>
    <row r="151" spans="1:15">
      <c r="A151" s="341"/>
      <c r="B151" s="31">
        <f t="shared" si="26"/>
        <v>1995</v>
      </c>
      <c r="C151" s="436"/>
      <c r="D151" s="436"/>
      <c r="E151" s="436"/>
      <c r="F151" s="436"/>
      <c r="G151" s="437">
        <f t="shared" si="27"/>
        <v>1.363924119881823</v>
      </c>
      <c r="H151" s="437">
        <f t="shared" si="27"/>
        <v>1.532679242609678</v>
      </c>
      <c r="I151" s="437">
        <f t="shared" si="27"/>
        <v>1.7013135846809755</v>
      </c>
      <c r="J151" s="437">
        <f t="shared" si="27"/>
        <v>1.6640053623196112</v>
      </c>
      <c r="K151" s="437">
        <f t="shared" si="27"/>
        <v>1.7229843628310171</v>
      </c>
      <c r="L151" s="203"/>
      <c r="M151" s="203"/>
      <c r="N151" s="203"/>
      <c r="O151" s="203"/>
    </row>
    <row r="152" spans="1:15">
      <c r="A152" s="341"/>
      <c r="B152" s="31">
        <f t="shared" si="26"/>
        <v>1996</v>
      </c>
      <c r="C152" s="436"/>
      <c r="D152" s="436"/>
      <c r="E152" s="436"/>
      <c r="F152" s="437">
        <f t="shared" si="27"/>
        <v>1.1832698776730428</v>
      </c>
      <c r="G152" s="437">
        <f t="shared" si="27"/>
        <v>1.3685627727650773</v>
      </c>
      <c r="H152" s="437">
        <f t="shared" si="27"/>
        <v>1.5378918251017681</v>
      </c>
      <c r="I152" s="437">
        <f t="shared" si="27"/>
        <v>1.7070996860115863</v>
      </c>
      <c r="J152" s="437">
        <f t="shared" si="27"/>
        <v>1.6696645798370369</v>
      </c>
      <c r="K152" s="437">
        <f t="shared" si="27"/>
        <v>1.7288441656352529</v>
      </c>
      <c r="L152" s="203"/>
      <c r="M152" s="203"/>
      <c r="N152" s="203"/>
      <c r="O152" s="203"/>
    </row>
    <row r="153" spans="1:15">
      <c r="A153" s="341"/>
      <c r="B153" s="31">
        <f t="shared" si="26"/>
        <v>1997</v>
      </c>
      <c r="C153" s="436"/>
      <c r="D153" s="436"/>
      <c r="E153" s="437">
        <f t="shared" si="27"/>
        <v>1.1677491127963833</v>
      </c>
      <c r="F153" s="437">
        <f t="shared" si="27"/>
        <v>1.2899105244020446</v>
      </c>
      <c r="G153" s="437">
        <f t="shared" si="27"/>
        <v>1.4919026987876267</v>
      </c>
      <c r="H153" s="437">
        <f t="shared" si="27"/>
        <v>1.6764923100144877</v>
      </c>
      <c r="I153" s="437">
        <f t="shared" si="27"/>
        <v>1.8609498075959829</v>
      </c>
      <c r="J153" s="437">
        <f t="shared" si="27"/>
        <v>1.8201409115463179</v>
      </c>
      <c r="K153" s="437">
        <f t="shared" si="27"/>
        <v>1.8846539799436912</v>
      </c>
      <c r="L153" s="203"/>
      <c r="M153" s="203"/>
      <c r="N153" s="203"/>
      <c r="O153" s="203"/>
    </row>
    <row r="154" spans="1:15">
      <c r="A154" s="341"/>
      <c r="B154" s="31">
        <f>$B$21</f>
        <v>1998</v>
      </c>
      <c r="C154" s="436"/>
      <c r="D154" s="437">
        <f t="shared" si="27"/>
        <v>1.1325599476751309</v>
      </c>
      <c r="E154" s="437">
        <f t="shared" si="27"/>
        <v>1.2254141456855863</v>
      </c>
      <c r="F154" s="437">
        <f t="shared" si="27"/>
        <v>1.3536080532622039</v>
      </c>
      <c r="G154" s="437">
        <f t="shared" si="27"/>
        <v>1.5655748748144307</v>
      </c>
      <c r="H154" s="437">
        <f t="shared" si="27"/>
        <v>1.7592797710676378</v>
      </c>
      <c r="I154" s="437">
        <f t="shared" si="27"/>
        <v>1.9528460297247254</v>
      </c>
      <c r="J154" s="437">
        <f t="shared" si="27"/>
        <v>1.9100219351130672</v>
      </c>
      <c r="K154" s="437">
        <f t="shared" si="27"/>
        <v>1.9777207462099229</v>
      </c>
      <c r="L154" s="203"/>
      <c r="M154" s="203"/>
      <c r="N154" s="203"/>
      <c r="O154" s="203"/>
    </row>
    <row r="155" spans="1:15">
      <c r="A155" s="341"/>
      <c r="B155" s="31">
        <f>$B$22</f>
        <v>1999</v>
      </c>
      <c r="C155" s="437">
        <f>C133/C$138</f>
        <v>1.0392162465502504</v>
      </c>
      <c r="D155" s="437">
        <f t="shared" si="27"/>
        <v>1.0979278152489338</v>
      </c>
      <c r="E155" s="437">
        <f t="shared" si="27"/>
        <v>1.1879426590261519</v>
      </c>
      <c r="F155" s="437">
        <f t="shared" si="27"/>
        <v>1.3122165724403954</v>
      </c>
      <c r="G155" s="437">
        <f t="shared" si="27"/>
        <v>1.5177017388281202</v>
      </c>
      <c r="H155" s="437">
        <f t="shared" si="27"/>
        <v>1.7054834045870695</v>
      </c>
      <c r="I155" s="437">
        <f t="shared" si="27"/>
        <v>1.8931306720977581</v>
      </c>
      <c r="J155" s="437">
        <f t="shared" si="27"/>
        <v>1.851616079661828</v>
      </c>
      <c r="K155" s="437">
        <f t="shared" si="27"/>
        <v>1.9172447538128952</v>
      </c>
      <c r="L155" s="203"/>
      <c r="M155" s="203"/>
      <c r="N155" s="203"/>
      <c r="O155" s="203"/>
    </row>
    <row r="156" spans="1:15">
      <c r="A156" s="341"/>
      <c r="B156" s="31" t="s">
        <v>396</v>
      </c>
      <c r="C156" s="334"/>
      <c r="D156" s="334"/>
      <c r="E156" s="334"/>
      <c r="F156" s="334"/>
      <c r="G156" s="334"/>
      <c r="H156" s="334"/>
      <c r="I156" s="334"/>
      <c r="J156" s="334"/>
      <c r="K156" s="334"/>
      <c r="L156" s="203"/>
      <c r="M156" s="203"/>
      <c r="N156" s="203"/>
      <c r="O156" s="203"/>
    </row>
    <row r="157" spans="1:15">
      <c r="A157" s="341"/>
      <c r="B157" s="31">
        <v>2021</v>
      </c>
      <c r="C157" s="437">
        <f t="shared" ref="C157:K158" si="28">C135/C$138</f>
        <v>0.39615526947257096</v>
      </c>
      <c r="D157" s="437">
        <f t="shared" si="28"/>
        <v>0.41853646048665827</v>
      </c>
      <c r="E157" s="437">
        <f t="shared" si="28"/>
        <v>0.45285064178575812</v>
      </c>
      <c r="F157" s="437">
        <f t="shared" si="28"/>
        <v>0.50022457942429954</v>
      </c>
      <c r="G157" s="437">
        <f t="shared" si="28"/>
        <v>0.57855671841189849</v>
      </c>
      <c r="H157" s="437">
        <f t="shared" si="28"/>
        <v>0.65014018012902419</v>
      </c>
      <c r="I157" s="437">
        <f t="shared" si="28"/>
        <v>0.72167240845326064</v>
      </c>
      <c r="J157" s="437">
        <f t="shared" si="28"/>
        <v>0.70584680467917171</v>
      </c>
      <c r="K157" s="437">
        <f t="shared" si="28"/>
        <v>0.73086483646971567</v>
      </c>
      <c r="L157" s="203"/>
      <c r="M157" s="203"/>
      <c r="N157" s="203"/>
      <c r="O157" s="203"/>
    </row>
    <row r="158" spans="1:15">
      <c r="A158" s="203"/>
      <c r="B158" s="31">
        <f>B157+1</f>
        <v>2022</v>
      </c>
      <c r="C158" s="437">
        <f t="shared" si="28"/>
        <v>0.40278897945581976</v>
      </c>
      <c r="D158" s="437">
        <f t="shared" si="28"/>
        <v>0.42554494859784875</v>
      </c>
      <c r="E158" s="437">
        <f t="shared" si="28"/>
        <v>0.46043372865807047</v>
      </c>
      <c r="F158" s="437">
        <f t="shared" si="28"/>
        <v>0.50860095364446678</v>
      </c>
      <c r="G158" s="437">
        <f t="shared" si="28"/>
        <v>0.58824478209438946</v>
      </c>
      <c r="H158" s="437">
        <f t="shared" si="28"/>
        <v>0.66102692513982519</v>
      </c>
      <c r="I158" s="437">
        <f t="shared" si="28"/>
        <v>0.73375697687756891</v>
      </c>
      <c r="J158" s="437">
        <f t="shared" si="28"/>
        <v>0.71766636977312714</v>
      </c>
      <c r="K158" s="437">
        <f t="shared" si="28"/>
        <v>0.74310333418943431</v>
      </c>
      <c r="L158" s="203"/>
      <c r="M158" s="203"/>
      <c r="N158" s="203"/>
      <c r="O158" s="203"/>
    </row>
    <row r="159" spans="1:15">
      <c r="A159" s="203"/>
      <c r="B159" s="203"/>
      <c r="C159" s="203"/>
      <c r="D159" s="203"/>
      <c r="E159" s="203"/>
      <c r="F159" s="203"/>
      <c r="G159" s="203"/>
      <c r="H159" s="203"/>
      <c r="I159" s="203"/>
      <c r="J159" s="203"/>
      <c r="K159" s="203"/>
      <c r="L159" s="203"/>
      <c r="M159" s="203"/>
      <c r="N159" s="203"/>
      <c r="O159" s="203"/>
    </row>
    <row r="160" spans="1:15">
      <c r="A160" s="203"/>
      <c r="B160" s="203"/>
      <c r="C160" s="203"/>
      <c r="D160" s="203"/>
      <c r="E160" s="203"/>
      <c r="F160" s="203"/>
      <c r="G160" s="203"/>
      <c r="H160" s="203"/>
      <c r="I160" s="203"/>
      <c r="J160" s="203"/>
      <c r="K160" s="203"/>
      <c r="L160" s="203"/>
      <c r="M160" s="203"/>
      <c r="N160" s="203"/>
      <c r="O160" s="203"/>
    </row>
    <row r="161" spans="1:15">
      <c r="A161" s="203"/>
      <c r="B161" s="203"/>
      <c r="C161" s="203"/>
      <c r="D161" s="203"/>
      <c r="E161" s="203"/>
      <c r="F161" s="203"/>
      <c r="G161" s="203"/>
      <c r="H161" s="203"/>
      <c r="I161" s="203"/>
      <c r="J161" s="203"/>
      <c r="K161" s="203"/>
      <c r="L161" s="203"/>
      <c r="M161" s="203"/>
      <c r="N161" s="203"/>
      <c r="O161" s="203"/>
    </row>
    <row r="162" spans="1:15">
      <c r="A162" s="203"/>
      <c r="B162" s="203"/>
      <c r="C162" s="203"/>
      <c r="D162" s="203"/>
      <c r="E162" s="203"/>
      <c r="F162" s="203"/>
      <c r="G162" s="203"/>
      <c r="H162" s="203"/>
      <c r="I162" s="203"/>
      <c r="J162" s="203"/>
      <c r="K162" s="203"/>
      <c r="L162" s="203"/>
      <c r="M162" s="203"/>
      <c r="N162" s="203"/>
      <c r="O162" s="203"/>
    </row>
    <row r="163" spans="1:15">
      <c r="A163" s="203"/>
      <c r="B163" s="203"/>
      <c r="C163" s="203"/>
      <c r="D163" s="203"/>
      <c r="E163" s="203"/>
      <c r="F163" s="203"/>
      <c r="G163" s="203"/>
      <c r="H163" s="203"/>
      <c r="I163" s="203"/>
      <c r="J163" s="203"/>
      <c r="K163" s="203"/>
      <c r="L163" s="203"/>
      <c r="M163" s="203"/>
      <c r="N163" s="203"/>
      <c r="O163" s="203"/>
    </row>
    <row r="164" spans="1:15">
      <c r="A164" s="333"/>
      <c r="B164" s="242"/>
      <c r="C164" s="203"/>
      <c r="D164" s="203"/>
      <c r="E164" s="203"/>
      <c r="F164" s="203"/>
      <c r="G164" s="203"/>
      <c r="H164" s="203"/>
      <c r="I164" s="203"/>
      <c r="J164" s="203"/>
      <c r="K164" s="203"/>
      <c r="L164" s="203"/>
      <c r="M164" s="203"/>
      <c r="N164" s="203"/>
      <c r="O164" s="203"/>
    </row>
    <row r="165" spans="1:15">
      <c r="A165" s="333" t="s">
        <v>76</v>
      </c>
      <c r="B165" s="242" t="s">
        <v>397</v>
      </c>
      <c r="C165" s="203"/>
      <c r="D165" s="203"/>
      <c r="E165" s="203"/>
      <c r="F165" s="203"/>
      <c r="G165" s="203"/>
      <c r="H165" s="203"/>
      <c r="I165" s="203"/>
      <c r="J165" s="203"/>
      <c r="K165" s="203"/>
      <c r="L165" s="203"/>
      <c r="M165" s="203"/>
      <c r="N165" s="203"/>
      <c r="O165" s="203"/>
    </row>
    <row r="166" spans="1:15">
      <c r="A166" s="333"/>
      <c r="B166" s="242" t="s">
        <v>398</v>
      </c>
      <c r="C166" s="203"/>
      <c r="D166" s="203"/>
      <c r="E166" s="203"/>
      <c r="F166" s="203"/>
      <c r="G166" s="203"/>
      <c r="H166" s="203"/>
      <c r="I166" s="203"/>
      <c r="J166" s="203"/>
      <c r="K166" s="203"/>
      <c r="L166" s="203"/>
      <c r="M166" s="203"/>
      <c r="N166" s="203"/>
      <c r="O166" s="203"/>
    </row>
    <row r="167" spans="1:15">
      <c r="A167" s="333" t="s">
        <v>165</v>
      </c>
      <c r="B167" s="242" t="s">
        <v>399</v>
      </c>
      <c r="C167" s="203"/>
      <c r="D167" s="203"/>
      <c r="E167" s="203"/>
      <c r="F167" s="203"/>
      <c r="G167" s="203"/>
      <c r="H167" s="203"/>
      <c r="I167" s="203"/>
      <c r="J167" s="203"/>
      <c r="K167" s="203"/>
      <c r="L167" s="203"/>
      <c r="M167" s="203"/>
      <c r="N167" s="203"/>
      <c r="O167" s="203"/>
    </row>
    <row r="168" spans="1:15">
      <c r="A168" s="203"/>
      <c r="B168" s="242"/>
      <c r="C168" s="203"/>
      <c r="D168" s="203"/>
      <c r="E168" s="203"/>
      <c r="F168" s="203"/>
      <c r="G168" s="203"/>
      <c r="H168" s="203"/>
      <c r="I168" s="203"/>
      <c r="J168" s="203"/>
      <c r="K168" s="203"/>
      <c r="L168" s="203"/>
      <c r="M168" s="203"/>
      <c r="N168" s="203"/>
      <c r="O168" s="203"/>
    </row>
    <row r="169" spans="1:15">
      <c r="A169" s="203"/>
      <c r="B169" s="242" t="s">
        <v>265</v>
      </c>
      <c r="C169" s="203"/>
      <c r="D169" s="203"/>
      <c r="E169" s="203"/>
      <c r="F169" s="203"/>
      <c r="G169" s="203"/>
      <c r="H169" s="203"/>
      <c r="I169" s="203"/>
      <c r="J169" s="203"/>
      <c r="K169" s="203"/>
      <c r="L169" s="203"/>
      <c r="M169" s="203"/>
      <c r="N169" s="203"/>
      <c r="O169" s="203"/>
    </row>
    <row r="170" spans="1:15">
      <c r="A170" s="242"/>
      <c r="B170" s="242"/>
      <c r="C170" s="242"/>
      <c r="D170" s="242"/>
      <c r="E170" s="242"/>
      <c r="F170" s="242"/>
      <c r="G170" s="242"/>
      <c r="H170" s="242"/>
      <c r="I170" s="242"/>
      <c r="J170" s="242"/>
      <c r="K170" s="242"/>
      <c r="L170" s="242"/>
      <c r="M170" s="46" t="s">
        <v>381</v>
      </c>
      <c r="N170" s="203"/>
      <c r="O170" s="203"/>
    </row>
    <row r="171" spans="1:15">
      <c r="A171" s="122" t="str">
        <f>A2</f>
        <v>Paid Loss Development Factors</v>
      </c>
      <c r="B171" s="122"/>
      <c r="C171" s="122"/>
      <c r="D171" s="122"/>
      <c r="E171" s="122"/>
      <c r="F171" s="122"/>
      <c r="G171" s="122"/>
      <c r="H171" s="122"/>
      <c r="I171" s="122"/>
      <c r="J171" s="122"/>
      <c r="K171" s="122"/>
      <c r="L171" s="122"/>
      <c r="M171" s="122"/>
      <c r="N171" s="203"/>
      <c r="O171" s="203"/>
    </row>
    <row r="172" spans="1:15">
      <c r="A172" s="122" t="str">
        <f t="shared" ref="A172:A173" si="29">A3</f>
        <v>Adjusted for the Impact of Claim Settlement Rate</v>
      </c>
      <c r="B172" s="122"/>
      <c r="C172" s="122"/>
      <c r="D172" s="122"/>
      <c r="E172" s="122"/>
      <c r="F172" s="122"/>
      <c r="G172" s="122"/>
      <c r="H172" s="122"/>
      <c r="I172" s="122"/>
      <c r="J172" s="122"/>
      <c r="K172" s="122"/>
      <c r="L172" s="122"/>
      <c r="M172" s="122"/>
      <c r="N172" s="203"/>
      <c r="O172" s="203"/>
    </row>
    <row r="173" spans="1:15">
      <c r="A173" s="122" t="str">
        <f t="shared" si="29"/>
        <v>Changes on Later Period Development</v>
      </c>
      <c r="B173" s="122"/>
      <c r="C173" s="122"/>
      <c r="D173" s="122"/>
      <c r="E173" s="122"/>
      <c r="F173" s="122"/>
      <c r="G173" s="122"/>
      <c r="H173" s="122"/>
      <c r="I173" s="122"/>
      <c r="J173" s="122"/>
      <c r="K173" s="122"/>
      <c r="L173" s="122"/>
      <c r="M173" s="122"/>
      <c r="N173" s="203"/>
      <c r="O173" s="203"/>
    </row>
    <row r="174" spans="1:15">
      <c r="A174" s="122"/>
      <c r="B174" s="122"/>
      <c r="C174" s="122"/>
      <c r="D174" s="122"/>
      <c r="E174" s="122"/>
      <c r="F174" s="122"/>
      <c r="G174" s="122"/>
      <c r="H174" s="122"/>
      <c r="I174" s="122"/>
      <c r="J174" s="122"/>
      <c r="K174" s="122"/>
      <c r="L174" s="122"/>
      <c r="M174" s="122"/>
      <c r="N174" s="203"/>
      <c r="O174" s="203"/>
    </row>
    <row r="175" spans="1:15">
      <c r="A175" s="122"/>
      <c r="B175" s="122"/>
      <c r="C175" s="122"/>
      <c r="D175" s="122"/>
      <c r="E175" s="122"/>
      <c r="F175" s="122"/>
      <c r="G175" s="122"/>
      <c r="H175" s="122"/>
      <c r="I175" s="122"/>
      <c r="J175" s="122"/>
      <c r="K175" s="122"/>
      <c r="L175" s="122"/>
      <c r="M175" s="122"/>
      <c r="N175" s="203"/>
      <c r="O175" s="203"/>
    </row>
    <row r="176" spans="1:15">
      <c r="A176" s="242"/>
      <c r="B176" s="242"/>
      <c r="C176" s="242"/>
      <c r="D176" s="242"/>
      <c r="E176" s="242"/>
      <c r="F176" s="242"/>
      <c r="G176" s="242"/>
      <c r="H176" s="242"/>
      <c r="I176" s="242"/>
      <c r="J176" s="242"/>
      <c r="K176" s="242"/>
      <c r="L176" s="203"/>
      <c r="M176" s="242"/>
      <c r="N176" s="203"/>
      <c r="O176" s="203"/>
    </row>
    <row r="177" spans="1:15">
      <c r="A177" s="203"/>
      <c r="B177" s="203"/>
      <c r="C177" s="124" t="s">
        <v>403</v>
      </c>
      <c r="D177" s="330"/>
      <c r="E177" s="330"/>
      <c r="F177" s="330"/>
      <c r="G177" s="330"/>
      <c r="H177" s="330"/>
      <c r="I177" s="330"/>
      <c r="J177" s="330"/>
      <c r="K177" s="330"/>
      <c r="L177" s="203"/>
      <c r="M177" s="203"/>
      <c r="N177" s="203"/>
      <c r="O177" s="203"/>
    </row>
    <row r="178" spans="1:15">
      <c r="A178" s="203"/>
      <c r="B178" s="199" t="s">
        <v>331</v>
      </c>
      <c r="C178" s="70" t="str">
        <f t="shared" ref="C178:K178" si="30">C$11&amp;"-"&amp;C$11+12</f>
        <v>300-312</v>
      </c>
      <c r="D178" s="70" t="str">
        <f t="shared" si="30"/>
        <v>312-324</v>
      </c>
      <c r="E178" s="70" t="str">
        <f t="shared" si="30"/>
        <v>324-336</v>
      </c>
      <c r="F178" s="70" t="str">
        <f t="shared" si="30"/>
        <v>336-348</v>
      </c>
      <c r="G178" s="70" t="str">
        <f t="shared" si="30"/>
        <v>348-360</v>
      </c>
      <c r="H178" s="70" t="str">
        <f t="shared" si="30"/>
        <v>360-372</v>
      </c>
      <c r="I178" s="70" t="str">
        <f t="shared" si="30"/>
        <v>372-384</v>
      </c>
      <c r="J178" s="70" t="str">
        <f t="shared" si="30"/>
        <v>384-396</v>
      </c>
      <c r="K178" s="70" t="str">
        <f t="shared" si="30"/>
        <v>396-408</v>
      </c>
      <c r="L178" s="203"/>
      <c r="M178" s="203"/>
      <c r="N178" s="203"/>
      <c r="O178" s="203"/>
    </row>
    <row r="179" spans="1:15">
      <c r="A179" s="203"/>
      <c r="B179" s="203"/>
      <c r="C179" s="203"/>
      <c r="D179" s="203"/>
      <c r="E179" s="203"/>
      <c r="F179" s="203"/>
      <c r="G179" s="203"/>
      <c r="H179" s="203"/>
      <c r="I179" s="203"/>
      <c r="J179" s="203"/>
      <c r="K179" s="203"/>
      <c r="L179" s="203"/>
      <c r="M179" s="203"/>
      <c r="N179" s="203"/>
      <c r="O179" s="203"/>
    </row>
    <row r="180" spans="1:15">
      <c r="A180" s="203"/>
      <c r="B180" s="203"/>
      <c r="C180" s="203"/>
      <c r="D180" s="203"/>
      <c r="E180" s="203"/>
      <c r="F180" s="203"/>
      <c r="G180" s="203"/>
      <c r="H180" s="203"/>
      <c r="I180" s="203"/>
      <c r="J180" s="203"/>
      <c r="K180" s="203"/>
      <c r="L180" s="203"/>
      <c r="M180" s="203"/>
      <c r="N180" s="203"/>
      <c r="O180" s="203"/>
    </row>
    <row r="181" spans="1:15">
      <c r="A181" s="203"/>
      <c r="B181" s="203"/>
      <c r="C181" s="203"/>
      <c r="D181" s="203"/>
      <c r="E181" s="203"/>
      <c r="F181" s="203"/>
      <c r="G181" s="203"/>
      <c r="H181" s="203"/>
      <c r="I181" s="203"/>
      <c r="J181" s="203"/>
      <c r="K181" s="203"/>
      <c r="L181" s="203"/>
      <c r="M181" s="203"/>
      <c r="N181" s="203"/>
      <c r="O181" s="203"/>
    </row>
    <row r="182" spans="1:15">
      <c r="A182" s="203"/>
      <c r="B182" s="203"/>
      <c r="C182" s="203"/>
      <c r="D182" s="203"/>
      <c r="E182" s="203"/>
      <c r="F182" s="203"/>
      <c r="G182" s="203"/>
      <c r="H182" s="203"/>
      <c r="I182" s="203"/>
      <c r="J182" s="203"/>
      <c r="K182" s="203"/>
      <c r="L182" s="203"/>
      <c r="M182" s="203"/>
      <c r="N182" s="203"/>
      <c r="O182" s="203"/>
    </row>
    <row r="183" spans="1:15">
      <c r="A183" s="126" t="s">
        <v>410</v>
      </c>
      <c r="B183" s="199"/>
      <c r="C183" s="203"/>
      <c r="D183" s="203"/>
      <c r="E183" s="203"/>
      <c r="F183" s="203"/>
      <c r="G183" s="203"/>
      <c r="H183" s="203"/>
      <c r="I183" s="203"/>
      <c r="J183" s="203"/>
      <c r="K183" s="203"/>
      <c r="L183" s="203"/>
      <c r="M183" s="203"/>
      <c r="N183" s="203"/>
      <c r="O183" s="203"/>
    </row>
    <row r="184" spans="1:15">
      <c r="A184" s="203"/>
      <c r="B184" s="199"/>
      <c r="C184" s="203"/>
      <c r="D184" s="203"/>
      <c r="E184" s="203"/>
      <c r="F184" s="203"/>
      <c r="G184" s="203"/>
      <c r="H184" s="203"/>
      <c r="I184" s="203"/>
      <c r="J184" s="203"/>
      <c r="K184" s="203"/>
      <c r="L184" s="203"/>
      <c r="M184" s="203"/>
      <c r="N184" s="203"/>
      <c r="O184" s="203"/>
    </row>
    <row r="185" spans="1:15">
      <c r="A185" s="203"/>
      <c r="B185" s="199"/>
      <c r="C185" s="203"/>
      <c r="D185" s="203"/>
      <c r="E185" s="203"/>
      <c r="F185" s="203"/>
      <c r="G185" s="203"/>
      <c r="H185" s="203"/>
      <c r="I185" s="203"/>
      <c r="J185" s="203"/>
      <c r="K185" s="203"/>
      <c r="L185" s="203"/>
      <c r="M185" s="203"/>
      <c r="N185" s="203"/>
      <c r="O185" s="203"/>
    </row>
    <row r="186" spans="1:15">
      <c r="A186" s="203"/>
      <c r="B186" s="199" t="s">
        <v>3</v>
      </c>
      <c r="C186" s="438">
        <f ca="1">'Exhibit 2.3.2'!J$30</f>
        <v>1.002</v>
      </c>
      <c r="D186" s="438">
        <f ca="1">'Exhibit 2.3.2'!K$30</f>
        <v>1.0016666666666667</v>
      </c>
      <c r="E186" s="438">
        <f ca="1">'Exhibit 2.3.2'!L$30</f>
        <v>1.0016666666666667</v>
      </c>
      <c r="F186" s="438">
        <f ca="1">'Exhibit 2.3.2'!M$30</f>
        <v>1.0009999999999999</v>
      </c>
      <c r="G186" s="438">
        <f ca="1">'Exhibit 2.3.2'!N$30</f>
        <v>1.0009999999999999</v>
      </c>
      <c r="H186" s="438">
        <f ca="1">'Exhibit 2.3.2'!O$30</f>
        <v>1.0009999999999999</v>
      </c>
      <c r="I186" s="438">
        <f ca="1">'Exhibit 2.3.2'!P$30</f>
        <v>1.0006666666666666</v>
      </c>
      <c r="J186" s="438">
        <f ca="1">'Exhibit 2.3.2'!Q$30</f>
        <v>1.0003333333333333</v>
      </c>
      <c r="K186" s="438">
        <f ca="1">'Exhibit 2.3.2'!R$30</f>
        <v>1.0006666666666666</v>
      </c>
      <c r="L186" s="203"/>
      <c r="M186" s="203"/>
      <c r="N186" s="203"/>
      <c r="O186" s="203"/>
    </row>
    <row r="187" spans="1:15">
      <c r="A187" s="203"/>
      <c r="B187" s="199" t="s">
        <v>5</v>
      </c>
      <c r="C187" s="438">
        <f ca="1">'Exhibit 2.4.2'!J$55</f>
        <v>1.0053333333333332</v>
      </c>
      <c r="D187" s="438">
        <f ca="1">'Exhibit 2.4.2'!K$55</f>
        <v>1.0056666666666667</v>
      </c>
      <c r="E187" s="438">
        <f ca="1">'Exhibit 2.4.2'!L$55</f>
        <v>1.004</v>
      </c>
      <c r="F187" s="438">
        <f ca="1">'Exhibit 2.4.2'!M$55</f>
        <v>1.0036666666666665</v>
      </c>
      <c r="G187" s="438">
        <f ca="1">'Exhibit 2.4.2'!N$55</f>
        <v>1.0026666666666666</v>
      </c>
      <c r="H187" s="438">
        <f ca="1">'Exhibit 2.4.2'!O$55</f>
        <v>1.002</v>
      </c>
      <c r="I187" s="438">
        <f ca="1">'Exhibit 2.4.2'!P$55</f>
        <v>1.0036666666666667</v>
      </c>
      <c r="J187" s="438">
        <f ca="1">'Exhibit 2.4.2'!Q$55</f>
        <v>1.0016666666666667</v>
      </c>
      <c r="K187" s="438">
        <f ca="1">'Exhibit 2.4.2'!R$55</f>
        <v>1.0026666666666666</v>
      </c>
      <c r="L187" s="203"/>
      <c r="M187" s="203"/>
      <c r="N187" s="203"/>
      <c r="O187" s="203"/>
    </row>
    <row r="188" spans="1:15">
      <c r="A188" s="203"/>
      <c r="B188" s="203"/>
      <c r="C188" s="203"/>
      <c r="D188" s="203"/>
      <c r="E188" s="203"/>
      <c r="F188" s="203"/>
      <c r="G188" s="203"/>
      <c r="H188" s="203"/>
      <c r="I188" s="203"/>
      <c r="J188" s="203"/>
      <c r="K188" s="203"/>
      <c r="L188" s="203"/>
      <c r="M188" s="203"/>
      <c r="N188" s="203"/>
      <c r="O188" s="203"/>
    </row>
    <row r="189" spans="1:15">
      <c r="A189" s="203"/>
      <c r="B189" s="203"/>
      <c r="C189" s="203"/>
      <c r="D189" s="203"/>
      <c r="E189" s="203"/>
      <c r="F189" s="203"/>
      <c r="G189" s="203"/>
      <c r="H189" s="203"/>
      <c r="I189" s="203"/>
      <c r="J189" s="203"/>
      <c r="K189" s="203"/>
      <c r="L189" s="203"/>
      <c r="M189" s="203"/>
      <c r="N189" s="203"/>
      <c r="O189" s="203"/>
    </row>
    <row r="190" spans="1:15">
      <c r="A190" s="203"/>
      <c r="B190" s="203"/>
      <c r="C190" s="203"/>
      <c r="D190" s="203"/>
      <c r="E190" s="203"/>
      <c r="F190" s="203"/>
      <c r="G190" s="203"/>
      <c r="H190" s="203"/>
      <c r="I190" s="203"/>
      <c r="J190" s="203"/>
      <c r="K190" s="203"/>
      <c r="L190" s="203"/>
      <c r="M190" s="203"/>
      <c r="N190" s="203"/>
      <c r="O190" s="203"/>
    </row>
    <row r="191" spans="1:15">
      <c r="A191" s="203"/>
      <c r="B191" s="203"/>
      <c r="C191" s="203"/>
      <c r="D191" s="203"/>
      <c r="E191" s="203"/>
      <c r="F191" s="203"/>
      <c r="G191" s="203"/>
      <c r="H191" s="203"/>
      <c r="I191" s="203"/>
      <c r="J191" s="203"/>
      <c r="K191" s="203"/>
      <c r="L191" s="203"/>
      <c r="M191" s="203"/>
      <c r="N191" s="203"/>
      <c r="O191" s="203"/>
    </row>
    <row r="192" spans="1:15">
      <c r="A192" s="126" t="s">
        <v>402</v>
      </c>
      <c r="B192" s="199"/>
      <c r="C192" s="199"/>
      <c r="D192" s="203"/>
      <c r="E192" s="203"/>
      <c r="F192" s="203"/>
      <c r="G192" s="203"/>
      <c r="H192" s="203"/>
      <c r="I192" s="203"/>
      <c r="J192" s="203"/>
      <c r="K192" s="203"/>
      <c r="L192" s="203"/>
      <c r="M192" s="203"/>
      <c r="N192" s="203"/>
      <c r="O192" s="203"/>
    </row>
    <row r="193" spans="1:15">
      <c r="A193" s="203"/>
      <c r="B193" s="199"/>
      <c r="C193" s="199"/>
      <c r="D193" s="203"/>
      <c r="E193" s="203"/>
      <c r="F193" s="203"/>
      <c r="G193" s="203"/>
      <c r="H193" s="203"/>
      <c r="I193" s="203"/>
      <c r="J193" s="203"/>
      <c r="K193" s="203"/>
      <c r="L193" s="203"/>
      <c r="M193" s="203"/>
      <c r="N193" s="203"/>
      <c r="O193" s="203"/>
    </row>
    <row r="194" spans="1:15">
      <c r="A194" s="203"/>
      <c r="B194" s="199"/>
      <c r="C194" s="203"/>
      <c r="D194" s="203"/>
      <c r="E194" s="203"/>
      <c r="F194" s="203"/>
      <c r="G194" s="203"/>
      <c r="H194" s="203"/>
      <c r="I194" s="203"/>
      <c r="J194" s="203"/>
      <c r="K194" s="203"/>
      <c r="L194" s="203"/>
      <c r="M194" s="203"/>
      <c r="N194" s="203"/>
      <c r="O194" s="203"/>
    </row>
    <row r="195" spans="1:15">
      <c r="A195" s="203"/>
      <c r="B195" s="335" t="str">
        <f>"Accident Year "&amp;$B$157</f>
        <v>Accident Year 2021</v>
      </c>
      <c r="C195" s="437">
        <f>(C157-1)*0.4+1</f>
        <v>0.75846210778902834</v>
      </c>
      <c r="D195" s="437">
        <f t="shared" ref="D195:K195" si="31">(D157-1)*0.4+1</f>
        <v>0.76741458419466335</v>
      </c>
      <c r="E195" s="437">
        <f t="shared" si="31"/>
        <v>0.7811402567143032</v>
      </c>
      <c r="F195" s="437">
        <f t="shared" si="31"/>
        <v>0.80008983176971982</v>
      </c>
      <c r="G195" s="437">
        <f t="shared" si="31"/>
        <v>0.83142268736475944</v>
      </c>
      <c r="H195" s="437">
        <f t="shared" si="31"/>
        <v>0.86005607205160972</v>
      </c>
      <c r="I195" s="437">
        <f t="shared" si="31"/>
        <v>0.8886689633813043</v>
      </c>
      <c r="J195" s="437">
        <f t="shared" si="31"/>
        <v>0.88233872187166873</v>
      </c>
      <c r="K195" s="437">
        <f t="shared" si="31"/>
        <v>0.89234593458788625</v>
      </c>
      <c r="L195" s="203"/>
      <c r="M195" s="203"/>
      <c r="N195" s="203"/>
      <c r="O195" s="203"/>
    </row>
    <row r="196" spans="1:15">
      <c r="A196" s="203"/>
      <c r="B196" s="335" t="str">
        <f>"Accident Year "&amp;$B$158</f>
        <v>Accident Year 2022</v>
      </c>
      <c r="C196" s="437">
        <f t="shared" ref="C196:K196" si="32">(C158-1)*0.4+1</f>
        <v>0.7611155917823279</v>
      </c>
      <c r="D196" s="437">
        <f t="shared" si="32"/>
        <v>0.7702179794391395</v>
      </c>
      <c r="E196" s="437">
        <f t="shared" si="32"/>
        <v>0.78417349146322812</v>
      </c>
      <c r="F196" s="437">
        <f t="shared" si="32"/>
        <v>0.80344038145778673</v>
      </c>
      <c r="G196" s="437">
        <f t="shared" si="32"/>
        <v>0.83529791283775578</v>
      </c>
      <c r="H196" s="437">
        <f t="shared" si="32"/>
        <v>0.86441077005593003</v>
      </c>
      <c r="I196" s="437">
        <f t="shared" si="32"/>
        <v>0.89350279075102756</v>
      </c>
      <c r="J196" s="437">
        <f t="shared" si="32"/>
        <v>0.88706654790925088</v>
      </c>
      <c r="K196" s="437">
        <f t="shared" si="32"/>
        <v>0.89724133367577374</v>
      </c>
      <c r="L196" s="203"/>
      <c r="M196" s="203"/>
      <c r="N196" s="203"/>
      <c r="O196" s="203"/>
    </row>
    <row r="197" spans="1:15">
      <c r="A197" s="203"/>
      <c r="B197" s="203"/>
      <c r="C197" s="203"/>
      <c r="D197" s="203"/>
      <c r="E197" s="203"/>
      <c r="F197" s="203"/>
      <c r="G197" s="203"/>
      <c r="H197" s="203"/>
      <c r="I197" s="203"/>
      <c r="J197" s="203"/>
      <c r="K197" s="203"/>
      <c r="L197" s="203"/>
      <c r="M197" s="203"/>
      <c r="N197" s="203"/>
      <c r="O197" s="203"/>
    </row>
    <row r="198" spans="1:15">
      <c r="A198" s="203"/>
      <c r="B198" s="203"/>
      <c r="C198" s="203"/>
      <c r="D198" s="203"/>
      <c r="E198" s="203"/>
      <c r="F198" s="203"/>
      <c r="G198" s="203"/>
      <c r="H198" s="203"/>
      <c r="I198" s="203"/>
      <c r="J198" s="203"/>
      <c r="K198" s="203"/>
      <c r="L198" s="203"/>
      <c r="M198" s="203"/>
      <c r="N198" s="203"/>
      <c r="O198" s="203"/>
    </row>
    <row r="199" spans="1:15">
      <c r="A199" s="203"/>
      <c r="B199" s="203"/>
      <c r="C199" s="203"/>
      <c r="D199" s="203"/>
      <c r="E199" s="203"/>
      <c r="F199" s="203"/>
      <c r="G199" s="203"/>
      <c r="H199" s="203"/>
      <c r="I199" s="203"/>
      <c r="J199" s="203"/>
      <c r="K199" s="203"/>
      <c r="L199" s="203"/>
      <c r="M199" s="203"/>
      <c r="N199" s="203"/>
      <c r="O199" s="203"/>
    </row>
    <row r="200" spans="1:15">
      <c r="A200" s="203"/>
      <c r="B200" s="203"/>
      <c r="C200" s="203"/>
      <c r="D200" s="203"/>
      <c r="E200" s="203"/>
      <c r="F200" s="203"/>
      <c r="G200" s="203"/>
      <c r="H200" s="203"/>
      <c r="I200" s="203"/>
      <c r="J200" s="203"/>
      <c r="K200" s="203"/>
      <c r="L200" s="203"/>
      <c r="M200" s="203"/>
      <c r="N200" s="203"/>
      <c r="O200" s="203"/>
    </row>
    <row r="201" spans="1:15">
      <c r="A201" s="126" t="s">
        <v>409</v>
      </c>
      <c r="B201" s="199"/>
      <c r="C201" s="199"/>
      <c r="D201" s="203"/>
      <c r="E201" s="203"/>
      <c r="F201" s="203"/>
      <c r="G201" s="203"/>
      <c r="H201" s="203"/>
      <c r="I201" s="203"/>
      <c r="J201" s="203"/>
      <c r="K201" s="203"/>
      <c r="L201" s="203"/>
      <c r="M201" s="203"/>
      <c r="N201" s="203"/>
      <c r="O201" s="203"/>
    </row>
    <row r="202" spans="1:15">
      <c r="A202" s="126"/>
      <c r="B202" s="199"/>
      <c r="C202" s="199"/>
      <c r="D202" s="203"/>
      <c r="E202" s="203"/>
      <c r="F202" s="203"/>
      <c r="G202" s="203"/>
      <c r="H202" s="203"/>
      <c r="I202" s="203"/>
      <c r="J202" s="203"/>
      <c r="K202" s="203"/>
      <c r="L202" s="203"/>
      <c r="M202" s="203"/>
      <c r="N202" s="203"/>
      <c r="O202" s="203"/>
    </row>
    <row r="203" spans="1:15">
      <c r="A203" s="203"/>
      <c r="B203" s="199"/>
      <c r="C203" s="199"/>
      <c r="D203" s="203"/>
      <c r="E203" s="203"/>
      <c r="F203" s="203"/>
      <c r="G203" s="203"/>
      <c r="H203" s="203"/>
      <c r="I203" s="203"/>
      <c r="J203" s="203"/>
      <c r="K203" s="203"/>
      <c r="L203" s="203"/>
      <c r="M203" s="203"/>
      <c r="N203" s="203"/>
      <c r="O203" s="203"/>
    </row>
    <row r="204" spans="1:15">
      <c r="A204" s="203"/>
      <c r="B204" s="199" t="s">
        <v>3</v>
      </c>
      <c r="C204" s="203"/>
      <c r="D204" s="203"/>
      <c r="E204" s="203"/>
      <c r="F204" s="203"/>
      <c r="G204" s="203"/>
      <c r="H204" s="203"/>
      <c r="I204" s="203"/>
      <c r="J204" s="203"/>
      <c r="K204" s="203"/>
      <c r="L204" s="203"/>
      <c r="M204" s="203"/>
      <c r="N204" s="203"/>
      <c r="O204" s="203"/>
    </row>
    <row r="205" spans="1:15">
      <c r="A205" s="203"/>
      <c r="B205" s="199" t="str">
        <f>$B$195</f>
        <v>Accident Year 2021</v>
      </c>
      <c r="C205" s="501">
        <f t="shared" ref="C205:K205" ca="1" si="33">(C$186-1)*C195+1</f>
        <v>1.0015169242155781</v>
      </c>
      <c r="D205" s="501">
        <f t="shared" ca="1" si="33"/>
        <v>1.0012790243069911</v>
      </c>
      <c r="E205" s="501">
        <f t="shared" ca="1" si="33"/>
        <v>1.0013019004278572</v>
      </c>
      <c r="F205" s="501">
        <f t="shared" ca="1" si="33"/>
        <v>1.0008000898317697</v>
      </c>
      <c r="G205" s="501">
        <f t="shared" ca="1" si="33"/>
        <v>1.0008314226873647</v>
      </c>
      <c r="H205" s="501">
        <f t="shared" ca="1" si="33"/>
        <v>1.0008600560720515</v>
      </c>
      <c r="I205" s="501">
        <f t="shared" ca="1" si="33"/>
        <v>1.0005924459755875</v>
      </c>
      <c r="J205" s="501">
        <f t="shared" ca="1" si="33"/>
        <v>1.0002941129072904</v>
      </c>
      <c r="K205" s="501">
        <f t="shared" ca="1" si="33"/>
        <v>1.0005948972897252</v>
      </c>
      <c r="L205" s="200"/>
      <c r="M205" s="203"/>
      <c r="N205" s="203"/>
      <c r="O205" s="203"/>
    </row>
    <row r="206" spans="1:15">
      <c r="A206" s="203"/>
      <c r="B206" s="199" t="str">
        <f>$B$196</f>
        <v>Accident Year 2022</v>
      </c>
      <c r="C206" s="501">
        <f t="shared" ref="C206:K206" ca="1" si="34">(C$186-1)*C196+1</f>
        <v>1.0015222311835648</v>
      </c>
      <c r="D206" s="501">
        <f t="shared" ca="1" si="34"/>
        <v>1.0012836966323986</v>
      </c>
      <c r="E206" s="501">
        <f t="shared" ca="1" si="34"/>
        <v>1.0013069558191054</v>
      </c>
      <c r="F206" s="501">
        <f t="shared" ca="1" si="34"/>
        <v>1.0008034403814576</v>
      </c>
      <c r="G206" s="501">
        <f t="shared" ca="1" si="34"/>
        <v>1.0008352979128377</v>
      </c>
      <c r="H206" s="501">
        <f t="shared" ca="1" si="34"/>
        <v>1.0008644107700559</v>
      </c>
      <c r="I206" s="501">
        <f t="shared" ca="1" si="34"/>
        <v>1.0005956685271673</v>
      </c>
      <c r="J206" s="501">
        <f t="shared" ca="1" si="34"/>
        <v>1.0002956888493031</v>
      </c>
      <c r="K206" s="501">
        <f t="shared" ca="1" si="34"/>
        <v>1.000598160889117</v>
      </c>
      <c r="L206" s="200"/>
      <c r="M206" s="203"/>
      <c r="N206" s="203"/>
      <c r="O206" s="203"/>
    </row>
    <row r="207" spans="1:15">
      <c r="A207" s="203"/>
      <c r="B207" s="203"/>
      <c r="C207" s="502"/>
      <c r="D207" s="502"/>
      <c r="E207" s="502"/>
      <c r="F207" s="502"/>
      <c r="G207" s="502"/>
      <c r="H207" s="502"/>
      <c r="I207" s="502"/>
      <c r="J207" s="502"/>
      <c r="K207" s="502"/>
      <c r="L207" s="203"/>
      <c r="M207" s="203"/>
      <c r="N207" s="203"/>
      <c r="O207" s="203"/>
    </row>
    <row r="208" spans="1:15">
      <c r="A208" s="203"/>
      <c r="B208" s="203"/>
      <c r="C208" s="502"/>
      <c r="D208" s="502"/>
      <c r="E208" s="502"/>
      <c r="F208" s="502"/>
      <c r="G208" s="502"/>
      <c r="H208" s="502"/>
      <c r="I208" s="502"/>
      <c r="J208" s="502"/>
      <c r="K208" s="502"/>
      <c r="L208" s="203"/>
      <c r="M208" s="203"/>
      <c r="N208" s="203"/>
      <c r="O208" s="203"/>
    </row>
    <row r="209" spans="1:15">
      <c r="A209" s="203"/>
      <c r="B209" s="199" t="s">
        <v>5</v>
      </c>
      <c r="C209" s="502"/>
      <c r="D209" s="502"/>
      <c r="E209" s="502"/>
      <c r="F209" s="502"/>
      <c r="G209" s="502"/>
      <c r="H209" s="502"/>
      <c r="I209" s="502"/>
      <c r="J209" s="502"/>
      <c r="K209" s="502"/>
      <c r="L209" s="203"/>
      <c r="M209" s="203"/>
      <c r="N209" s="203"/>
      <c r="O209" s="203"/>
    </row>
    <row r="210" spans="1:15">
      <c r="A210" s="203"/>
      <c r="B210" s="199" t="str">
        <f>$B$195</f>
        <v>Accident Year 2021</v>
      </c>
      <c r="C210" s="501">
        <f t="shared" ref="C210:K210" ca="1" si="35">(C$187-1)*C195+1</f>
        <v>1.0040451312415413</v>
      </c>
      <c r="D210" s="501">
        <f t="shared" ca="1" si="35"/>
        <v>1.0043486826437698</v>
      </c>
      <c r="E210" s="501">
        <f t="shared" ca="1" si="35"/>
        <v>1.0031245610268573</v>
      </c>
      <c r="F210" s="501">
        <f t="shared" ca="1" si="35"/>
        <v>1.0029336627164889</v>
      </c>
      <c r="G210" s="501">
        <f t="shared" ca="1" si="35"/>
        <v>1.0022171271663061</v>
      </c>
      <c r="H210" s="501">
        <f t="shared" ca="1" si="35"/>
        <v>1.0017201121441033</v>
      </c>
      <c r="I210" s="501">
        <f t="shared" ca="1" si="35"/>
        <v>1.0032584528657316</v>
      </c>
      <c r="J210" s="501">
        <f t="shared" ca="1" si="35"/>
        <v>1.0014705645364528</v>
      </c>
      <c r="K210" s="501">
        <f t="shared" ca="1" si="35"/>
        <v>1.0023795891589009</v>
      </c>
      <c r="L210" s="200"/>
      <c r="M210" s="203"/>
      <c r="N210" s="203"/>
      <c r="O210" s="203"/>
    </row>
    <row r="211" spans="1:15">
      <c r="A211" s="203"/>
      <c r="B211" s="199" t="str">
        <f>$B$196</f>
        <v>Accident Year 2022</v>
      </c>
      <c r="C211" s="501">
        <f t="shared" ref="C211:K211" ca="1" si="36">(C$187-1)*C196+1</f>
        <v>1.0040592831561723</v>
      </c>
      <c r="D211" s="501">
        <f t="shared" ca="1" si="36"/>
        <v>1.0043645685501552</v>
      </c>
      <c r="E211" s="501">
        <f t="shared" ca="1" si="36"/>
        <v>1.0031366939658528</v>
      </c>
      <c r="F211" s="501">
        <f t="shared" ca="1" si="36"/>
        <v>1.0029459480653451</v>
      </c>
      <c r="G211" s="501">
        <f t="shared" ca="1" si="36"/>
        <v>1.0022274611009006</v>
      </c>
      <c r="H211" s="501">
        <f t="shared" ca="1" si="36"/>
        <v>1.0017288215401119</v>
      </c>
      <c r="I211" s="501">
        <f t="shared" ca="1" si="36"/>
        <v>1.0032761768994205</v>
      </c>
      <c r="J211" s="501">
        <f t="shared" ca="1" si="36"/>
        <v>1.0014784442465154</v>
      </c>
      <c r="K211" s="501">
        <f t="shared" ca="1" si="36"/>
        <v>1.0023926435564687</v>
      </c>
      <c r="L211" s="200"/>
      <c r="M211" s="203"/>
      <c r="N211" s="203"/>
      <c r="O211" s="203"/>
    </row>
    <row r="212" spans="1:15">
      <c r="A212" s="203"/>
      <c r="B212" s="203"/>
      <c r="C212" s="203"/>
      <c r="D212" s="203"/>
      <c r="E212" s="203"/>
      <c r="F212" s="203"/>
      <c r="G212" s="203"/>
      <c r="H212" s="203"/>
      <c r="I212" s="203"/>
      <c r="J212" s="203"/>
      <c r="K212" s="203"/>
      <c r="L212" s="203"/>
      <c r="M212" s="203"/>
      <c r="N212" s="203"/>
      <c r="O212" s="203"/>
    </row>
    <row r="213" spans="1:15">
      <c r="A213" s="203"/>
      <c r="B213" s="203"/>
      <c r="C213" s="203"/>
      <c r="D213" s="203"/>
      <c r="E213" s="203"/>
      <c r="F213" s="203"/>
      <c r="G213" s="203"/>
      <c r="H213" s="203"/>
      <c r="I213" s="203"/>
      <c r="J213" s="203"/>
      <c r="K213" s="203"/>
      <c r="L213" s="203"/>
      <c r="M213" s="203"/>
      <c r="N213" s="203"/>
      <c r="O213" s="203"/>
    </row>
    <row r="214" spans="1:15">
      <c r="A214" s="203"/>
      <c r="B214" s="203"/>
      <c r="C214" s="203"/>
      <c r="D214" s="203"/>
      <c r="E214" s="203"/>
      <c r="F214" s="203"/>
      <c r="G214" s="203"/>
      <c r="H214" s="203"/>
      <c r="I214" s="203"/>
      <c r="J214" s="203"/>
      <c r="K214" s="203"/>
      <c r="L214" s="203"/>
      <c r="M214" s="203"/>
      <c r="N214" s="203"/>
      <c r="O214" s="203"/>
    </row>
    <row r="215" spans="1:15">
      <c r="A215" s="203"/>
      <c r="B215" s="203"/>
      <c r="C215" s="203"/>
      <c r="D215" s="203"/>
      <c r="E215" s="203"/>
      <c r="F215" s="203"/>
      <c r="G215" s="203"/>
      <c r="H215" s="203"/>
      <c r="I215" s="203"/>
      <c r="J215" s="203"/>
      <c r="K215" s="203"/>
      <c r="L215" s="203"/>
      <c r="M215" s="203"/>
      <c r="N215" s="203"/>
      <c r="O215" s="203"/>
    </row>
    <row r="216" spans="1:15">
      <c r="A216" s="203"/>
      <c r="B216" s="203"/>
      <c r="C216" s="203"/>
      <c r="D216" s="203"/>
      <c r="E216" s="203"/>
      <c r="F216" s="203"/>
      <c r="G216" s="203"/>
      <c r="H216" s="203"/>
      <c r="I216" s="203"/>
      <c r="J216" s="203"/>
      <c r="K216" s="203"/>
      <c r="L216" s="203"/>
      <c r="M216" s="203"/>
      <c r="N216" s="203"/>
      <c r="O216" s="203"/>
    </row>
    <row r="217" spans="1:15">
      <c r="A217" s="203"/>
      <c r="B217" s="203"/>
      <c r="C217" s="203"/>
      <c r="D217" s="203"/>
      <c r="E217" s="203"/>
      <c r="F217" s="203"/>
      <c r="G217" s="203"/>
      <c r="H217" s="203"/>
      <c r="I217" s="203"/>
      <c r="J217" s="203"/>
      <c r="K217" s="203"/>
      <c r="L217" s="203"/>
      <c r="M217" s="203"/>
      <c r="N217" s="203"/>
      <c r="O217" s="203"/>
    </row>
    <row r="218" spans="1:15">
      <c r="A218" s="203"/>
      <c r="B218" s="203"/>
      <c r="C218" s="203"/>
      <c r="D218" s="203"/>
      <c r="E218" s="203"/>
      <c r="F218" s="203"/>
      <c r="G218" s="203"/>
      <c r="H218" s="203"/>
      <c r="I218" s="203"/>
      <c r="J218" s="203"/>
      <c r="K218" s="203"/>
      <c r="L218" s="203"/>
      <c r="M218" s="203"/>
      <c r="N218" s="203"/>
      <c r="O218" s="203"/>
    </row>
    <row r="219" spans="1:15">
      <c r="A219" s="333" t="s">
        <v>167</v>
      </c>
      <c r="B219" s="242" t="s">
        <v>404</v>
      </c>
      <c r="C219" s="203"/>
      <c r="D219" s="203"/>
      <c r="E219" s="203"/>
      <c r="F219" s="203"/>
      <c r="G219" s="203"/>
      <c r="H219" s="203"/>
      <c r="I219" s="203"/>
      <c r="J219" s="203"/>
      <c r="K219" s="203"/>
      <c r="L219" s="203"/>
      <c r="M219" s="203"/>
      <c r="N219" s="203"/>
      <c r="O219" s="203"/>
    </row>
    <row r="220" spans="1:15">
      <c r="A220" s="333"/>
      <c r="B220" s="242" t="s">
        <v>405</v>
      </c>
      <c r="C220" s="203"/>
      <c r="D220" s="203"/>
      <c r="E220" s="203"/>
      <c r="F220" s="203"/>
      <c r="G220" s="203"/>
      <c r="H220" s="203"/>
      <c r="I220" s="203"/>
      <c r="J220" s="203"/>
      <c r="K220" s="203"/>
      <c r="L220" s="203"/>
      <c r="M220" s="203"/>
      <c r="N220" s="203"/>
      <c r="O220" s="203"/>
    </row>
    <row r="221" spans="1:15">
      <c r="A221" s="333" t="s">
        <v>98</v>
      </c>
      <c r="B221" s="242" t="s">
        <v>406</v>
      </c>
      <c r="C221" s="203"/>
      <c r="D221" s="203"/>
      <c r="E221" s="203"/>
      <c r="F221" s="203"/>
      <c r="G221" s="203"/>
      <c r="H221" s="203"/>
      <c r="I221" s="203"/>
      <c r="J221" s="203"/>
      <c r="K221" s="203"/>
      <c r="L221" s="203"/>
      <c r="M221" s="203"/>
      <c r="N221" s="203"/>
      <c r="O221" s="203"/>
    </row>
    <row r="222" spans="1:15">
      <c r="A222" s="333"/>
      <c r="B222" s="242" t="s">
        <v>407</v>
      </c>
      <c r="C222" s="203"/>
      <c r="D222" s="203"/>
      <c r="E222" s="203"/>
      <c r="F222" s="203"/>
      <c r="G222" s="203"/>
      <c r="H222" s="203"/>
      <c r="I222" s="203"/>
      <c r="J222" s="203"/>
      <c r="K222" s="203"/>
      <c r="L222" s="203"/>
      <c r="M222" s="203"/>
      <c r="N222" s="203"/>
      <c r="O222" s="203"/>
    </row>
    <row r="223" spans="1:15">
      <c r="A223" s="333" t="s">
        <v>262</v>
      </c>
      <c r="B223" s="242" t="s">
        <v>408</v>
      </c>
      <c r="C223" s="203"/>
      <c r="D223" s="203"/>
      <c r="E223" s="203"/>
      <c r="F223" s="203"/>
      <c r="G223" s="203"/>
      <c r="H223" s="203"/>
      <c r="I223" s="203"/>
      <c r="J223" s="203"/>
      <c r="K223" s="203"/>
      <c r="L223" s="203"/>
      <c r="M223" s="203"/>
      <c r="N223" s="203"/>
      <c r="O223" s="203"/>
    </row>
    <row r="224" spans="1:15">
      <c r="A224" s="203"/>
      <c r="B224" s="203"/>
      <c r="C224" s="203"/>
      <c r="D224" s="203"/>
      <c r="E224" s="203"/>
      <c r="F224" s="203"/>
      <c r="G224" s="203"/>
      <c r="H224" s="203"/>
      <c r="I224" s="203"/>
      <c r="J224" s="203"/>
      <c r="K224" s="203"/>
      <c r="L224" s="203"/>
      <c r="M224" s="203"/>
      <c r="N224" s="203"/>
      <c r="O224" s="203"/>
    </row>
    <row r="225" spans="1:15">
      <c r="A225" s="203"/>
      <c r="B225" s="242" t="s">
        <v>265</v>
      </c>
      <c r="C225" s="203"/>
      <c r="D225" s="203"/>
      <c r="E225" s="203"/>
      <c r="F225" s="203"/>
      <c r="G225" s="203"/>
      <c r="H225" s="203"/>
      <c r="I225" s="203"/>
      <c r="J225" s="203"/>
      <c r="K225" s="203"/>
      <c r="L225" s="203"/>
      <c r="M225" s="203"/>
      <c r="N225" s="203"/>
      <c r="O225" s="203"/>
    </row>
    <row r="226" spans="1:15">
      <c r="A226" s="203"/>
      <c r="B226" s="203"/>
      <c r="C226" s="203"/>
      <c r="D226" s="203"/>
      <c r="E226" s="203"/>
      <c r="F226" s="203"/>
      <c r="G226" s="203"/>
      <c r="H226" s="203"/>
      <c r="I226" s="203"/>
      <c r="J226" s="203"/>
      <c r="K226" s="203"/>
      <c r="L226" s="203"/>
      <c r="M226" s="203"/>
      <c r="N226" s="203"/>
      <c r="O226" s="203"/>
    </row>
    <row r="227" spans="1:15">
      <c r="A227" s="203"/>
      <c r="B227" s="203"/>
      <c r="C227" s="203"/>
      <c r="D227" s="203"/>
      <c r="E227" s="203"/>
      <c r="F227" s="203"/>
      <c r="G227" s="203"/>
      <c r="H227" s="203"/>
      <c r="I227" s="203"/>
      <c r="J227" s="203"/>
      <c r="K227" s="203"/>
      <c r="L227" s="203"/>
      <c r="M227" s="203"/>
      <c r="N227" s="203"/>
      <c r="O227" s="203"/>
    </row>
    <row r="228" spans="1:15">
      <c r="A228" s="203"/>
      <c r="B228" s="203"/>
      <c r="C228" s="203"/>
      <c r="D228" s="203"/>
      <c r="E228" s="203"/>
      <c r="F228" s="203"/>
      <c r="G228" s="203"/>
      <c r="H228" s="203"/>
      <c r="I228" s="203"/>
      <c r="J228" s="203"/>
      <c r="K228" s="203"/>
      <c r="L228" s="203"/>
      <c r="M228" s="203"/>
      <c r="N228" s="203"/>
      <c r="O228" s="203"/>
    </row>
    <row r="229" spans="1:15">
      <c r="A229" s="203"/>
      <c r="B229" s="203"/>
      <c r="C229" s="203"/>
      <c r="D229" s="203"/>
      <c r="E229" s="203"/>
      <c r="F229" s="203"/>
      <c r="G229" s="203"/>
      <c r="H229" s="203"/>
      <c r="I229" s="203"/>
      <c r="J229" s="203"/>
      <c r="K229" s="203"/>
      <c r="L229" s="203"/>
      <c r="M229" s="203"/>
      <c r="N229" s="203"/>
      <c r="O229" s="203"/>
    </row>
    <row r="230" spans="1:15">
      <c r="A230" s="203"/>
      <c r="B230" s="203"/>
      <c r="C230" s="203"/>
      <c r="D230" s="203"/>
      <c r="E230" s="203"/>
      <c r="F230" s="203"/>
      <c r="G230" s="203"/>
      <c r="H230" s="203"/>
      <c r="I230" s="203"/>
      <c r="J230" s="203"/>
      <c r="K230" s="203"/>
      <c r="L230" s="203"/>
      <c r="M230" s="203"/>
      <c r="N230" s="203"/>
      <c r="O230" s="203"/>
    </row>
  </sheetData>
  <printOptions horizontalCentered="1"/>
  <pageMargins left="0.25" right="0.25" top="0.33" bottom="0.5" header="0.2" footer="0.3"/>
  <pageSetup scale="85" fitToHeight="4" orientation="portrait" blackAndWhite="1" r:id="rId1"/>
  <headerFooter scaleWithDoc="0"/>
  <rowBreaks count="3" manualBreakCount="3">
    <brk id="54" max="12" man="1"/>
    <brk id="111" max="12" man="1"/>
    <brk id="16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W57"/>
  <sheetViews>
    <sheetView zoomScaleNormal="100" zoomScaleSheetLayoutView="100" workbookViewId="0"/>
  </sheetViews>
  <sheetFormatPr defaultColWidth="9.1796875" defaultRowHeight="12.5"/>
  <cols>
    <col min="1" max="1" width="20.1796875" style="63" customWidth="1"/>
    <col min="2" max="2" width="8" style="81" customWidth="1"/>
    <col min="3" max="6" width="8" style="63" customWidth="1"/>
    <col min="7" max="20" width="7.81640625" style="63" customWidth="1"/>
    <col min="21" max="21" width="7.81640625" style="167" customWidth="1"/>
    <col min="22" max="22" width="7.81640625" style="134" customWidth="1"/>
    <col min="23" max="16384" width="9.1796875" style="63"/>
  </cols>
  <sheetData>
    <row r="1" spans="1:23" ht="12.75" customHeight="1">
      <c r="A1" s="220" t="str">
        <f>"Selected Medical Development Factors - Paid to Ultimate"</f>
        <v>Selected Medical Development Factors - Paid to Ultimate</v>
      </c>
      <c r="B1" s="220"/>
      <c r="C1" s="220"/>
      <c r="D1" s="220"/>
      <c r="E1" s="220"/>
      <c r="F1" s="220"/>
      <c r="G1" s="220"/>
      <c r="H1" s="220"/>
      <c r="I1" s="220"/>
      <c r="J1" s="220"/>
      <c r="K1" s="220"/>
      <c r="L1" s="220"/>
      <c r="M1" s="220"/>
      <c r="N1" s="220"/>
      <c r="O1" s="220"/>
      <c r="P1" s="220"/>
      <c r="Q1" s="220"/>
      <c r="R1" s="220"/>
      <c r="S1" s="220"/>
      <c r="T1" s="220"/>
      <c r="U1" s="220"/>
      <c r="V1" s="220"/>
      <c r="W1" s="343"/>
    </row>
    <row r="2" spans="1:23" ht="12" customHeight="1">
      <c r="A2" s="343"/>
      <c r="B2" s="343"/>
      <c r="C2" s="343"/>
      <c r="D2" s="343"/>
      <c r="E2" s="343"/>
      <c r="F2" s="343"/>
      <c r="G2" s="343"/>
      <c r="H2" s="343"/>
      <c r="I2" s="343"/>
      <c r="J2" s="343"/>
      <c r="K2" s="343"/>
      <c r="L2" s="343"/>
      <c r="M2" s="343"/>
      <c r="N2" s="343"/>
      <c r="O2" s="343"/>
      <c r="P2" s="343"/>
      <c r="Q2" s="343"/>
      <c r="R2" s="343"/>
      <c r="S2" s="343"/>
      <c r="T2" s="343"/>
      <c r="U2" s="343"/>
      <c r="V2" s="343"/>
      <c r="W2" s="343"/>
    </row>
    <row r="3" spans="1:23" ht="12" customHeight="1">
      <c r="A3" s="213" t="s">
        <v>411</v>
      </c>
      <c r="B3" s="212" t="s">
        <v>18</v>
      </c>
      <c r="C3" s="212"/>
      <c r="D3" s="212"/>
      <c r="E3" s="212"/>
      <c r="F3" s="212"/>
      <c r="G3" s="212"/>
      <c r="H3" s="212"/>
      <c r="I3" s="212"/>
      <c r="J3" s="212"/>
      <c r="K3" s="212"/>
      <c r="L3" s="212"/>
      <c r="M3" s="212"/>
      <c r="N3" s="212"/>
      <c r="O3" s="212"/>
      <c r="P3" s="212"/>
      <c r="Q3" s="212"/>
      <c r="R3" s="212"/>
      <c r="S3" s="212"/>
      <c r="T3" s="212"/>
      <c r="U3" s="212"/>
      <c r="V3" s="212"/>
      <c r="W3" s="343"/>
    </row>
    <row r="4" spans="1:23" ht="12" customHeight="1">
      <c r="A4" s="216" t="s">
        <v>19</v>
      </c>
      <c r="B4" s="216" t="s">
        <v>507</v>
      </c>
      <c r="C4" s="216" t="s">
        <v>508</v>
      </c>
      <c r="D4" s="216" t="s">
        <v>509</v>
      </c>
      <c r="E4" s="216" t="s">
        <v>510</v>
      </c>
      <c r="F4" s="216" t="s">
        <v>511</v>
      </c>
      <c r="G4" s="216" t="s">
        <v>512</v>
      </c>
      <c r="H4" s="216" t="s">
        <v>513</v>
      </c>
      <c r="I4" s="216" t="s">
        <v>514</v>
      </c>
      <c r="J4" s="216" t="s">
        <v>515</v>
      </c>
      <c r="K4" s="216" t="s">
        <v>516</v>
      </c>
      <c r="L4" s="216" t="s">
        <v>517</v>
      </c>
      <c r="M4" s="216" t="s">
        <v>518</v>
      </c>
      <c r="N4" s="216" t="s">
        <v>519</v>
      </c>
      <c r="O4" s="216" t="s">
        <v>520</v>
      </c>
      <c r="P4" s="216" t="s">
        <v>521</v>
      </c>
      <c r="Q4" s="216" t="s">
        <v>522</v>
      </c>
      <c r="R4" s="216" t="s">
        <v>523</v>
      </c>
      <c r="S4" s="216" t="s">
        <v>524</v>
      </c>
      <c r="T4" s="216" t="s">
        <v>525</v>
      </c>
      <c r="U4" s="216" t="s">
        <v>526</v>
      </c>
      <c r="V4" s="216" t="s">
        <v>527</v>
      </c>
      <c r="W4" s="343"/>
    </row>
    <row r="5" spans="1:23" s="167" customFormat="1" ht="12" customHeight="1">
      <c r="A5" s="213">
        <f t="shared" ref="A5:A25" si="0">A6-1</f>
        <v>1999</v>
      </c>
      <c r="B5" s="402"/>
      <c r="C5" s="402"/>
      <c r="D5" s="402"/>
      <c r="E5" s="402"/>
      <c r="F5" s="402"/>
      <c r="G5" s="402"/>
      <c r="H5" s="402"/>
      <c r="I5" s="402"/>
      <c r="J5" s="402"/>
      <c r="K5" s="402"/>
      <c r="L5" s="402"/>
      <c r="M5" s="402"/>
      <c r="N5" s="402"/>
      <c r="O5" s="402"/>
      <c r="P5" s="402"/>
      <c r="Q5" s="402"/>
      <c r="R5" s="402"/>
      <c r="S5" s="402"/>
      <c r="T5" s="402"/>
      <c r="U5" s="402"/>
      <c r="V5" s="402">
        <v>1.006</v>
      </c>
      <c r="W5" s="343"/>
    </row>
    <row r="6" spans="1:23" s="134" customFormat="1" ht="12" customHeight="1">
      <c r="A6" s="213">
        <f t="shared" si="0"/>
        <v>2000</v>
      </c>
      <c r="B6" s="402"/>
      <c r="C6" s="402"/>
      <c r="D6" s="402"/>
      <c r="E6" s="402"/>
      <c r="F6" s="402"/>
      <c r="G6" s="402"/>
      <c r="H6" s="402"/>
      <c r="I6" s="402"/>
      <c r="J6" s="402"/>
      <c r="K6" s="402"/>
      <c r="L6" s="402"/>
      <c r="M6" s="402"/>
      <c r="N6" s="402"/>
      <c r="O6" s="402"/>
      <c r="P6" s="402"/>
      <c r="Q6" s="402"/>
      <c r="R6" s="402"/>
      <c r="S6" s="402"/>
      <c r="T6" s="402"/>
      <c r="U6" s="402">
        <v>1.006</v>
      </c>
      <c r="V6" s="402">
        <v>1.006</v>
      </c>
      <c r="W6" s="343"/>
    </row>
    <row r="7" spans="1:23" s="102" customFormat="1" ht="12" customHeight="1">
      <c r="A7" s="213">
        <f t="shared" si="0"/>
        <v>2001</v>
      </c>
      <c r="B7" s="402"/>
      <c r="C7" s="402"/>
      <c r="D7" s="402"/>
      <c r="E7" s="402"/>
      <c r="F7" s="402"/>
      <c r="G7" s="402"/>
      <c r="H7" s="402"/>
      <c r="I7" s="402"/>
      <c r="J7" s="402"/>
      <c r="K7" s="402"/>
      <c r="L7" s="402"/>
      <c r="M7" s="402"/>
      <c r="N7" s="402"/>
      <c r="O7" s="402"/>
      <c r="P7" s="402"/>
      <c r="Q7" s="402"/>
      <c r="R7" s="402"/>
      <c r="S7" s="402"/>
      <c r="T7" s="402">
        <v>1.01</v>
      </c>
      <c r="U7" s="402">
        <v>1.006</v>
      </c>
      <c r="V7" s="402">
        <v>1.004</v>
      </c>
      <c r="W7" s="343"/>
    </row>
    <row r="8" spans="1:23" ht="12" customHeight="1">
      <c r="A8" s="213">
        <f t="shared" si="0"/>
        <v>2002</v>
      </c>
      <c r="B8" s="402"/>
      <c r="C8" s="402"/>
      <c r="D8" s="402"/>
      <c r="E8" s="402"/>
      <c r="F8" s="402"/>
      <c r="G8" s="402"/>
      <c r="H8" s="402"/>
      <c r="I8" s="402"/>
      <c r="J8" s="402"/>
      <c r="K8" s="402"/>
      <c r="L8" s="402"/>
      <c r="M8" s="402"/>
      <c r="N8" s="402"/>
      <c r="O8" s="402"/>
      <c r="P8" s="402"/>
      <c r="Q8" s="402"/>
      <c r="R8" s="402"/>
      <c r="S8" s="402">
        <v>1.0089999999999999</v>
      </c>
      <c r="T8" s="402">
        <v>1.0069999999999999</v>
      </c>
      <c r="U8" s="402">
        <v>1.0049999999999999</v>
      </c>
      <c r="V8" s="402" t="s">
        <v>34</v>
      </c>
      <c r="W8" s="343"/>
    </row>
    <row r="9" spans="1:23" ht="12" customHeight="1">
      <c r="A9" s="213">
        <f t="shared" si="0"/>
        <v>2003</v>
      </c>
      <c r="B9" s="402"/>
      <c r="C9" s="402"/>
      <c r="D9" s="402"/>
      <c r="E9" s="402"/>
      <c r="F9" s="402"/>
      <c r="G9" s="402"/>
      <c r="H9" s="402"/>
      <c r="I9" s="402"/>
      <c r="J9" s="402"/>
      <c r="K9" s="402"/>
      <c r="L9" s="402"/>
      <c r="M9" s="402"/>
      <c r="N9" s="402"/>
      <c r="O9" s="402"/>
      <c r="P9" s="402"/>
      <c r="Q9" s="402"/>
      <c r="R9" s="402">
        <v>1.012</v>
      </c>
      <c r="S9" s="402">
        <v>1.0089999999999999</v>
      </c>
      <c r="T9" s="402">
        <v>1.0049999999999999</v>
      </c>
      <c r="U9" s="402" t="s">
        <v>34</v>
      </c>
      <c r="V9" s="402"/>
      <c r="W9" s="343"/>
    </row>
    <row r="10" spans="1:23" ht="12" customHeight="1">
      <c r="A10" s="213">
        <f t="shared" si="0"/>
        <v>2004</v>
      </c>
      <c r="B10" s="402"/>
      <c r="C10" s="402"/>
      <c r="D10" s="402"/>
      <c r="E10" s="402"/>
      <c r="F10" s="402"/>
      <c r="G10" s="402"/>
      <c r="H10" s="402"/>
      <c r="I10" s="402"/>
      <c r="J10" s="402"/>
      <c r="K10" s="402"/>
      <c r="L10" s="402"/>
      <c r="M10" s="402"/>
      <c r="N10" s="402"/>
      <c r="O10" s="402"/>
      <c r="P10" s="402"/>
      <c r="Q10" s="402">
        <v>1.01</v>
      </c>
      <c r="R10" s="402">
        <v>1.008</v>
      </c>
      <c r="S10" s="402">
        <v>1.006</v>
      </c>
      <c r="T10" s="402"/>
      <c r="U10" s="402"/>
      <c r="V10" s="402"/>
      <c r="W10" s="343"/>
    </row>
    <row r="11" spans="1:23" ht="12" customHeight="1">
      <c r="A11" s="213">
        <f t="shared" si="0"/>
        <v>2005</v>
      </c>
      <c r="B11" s="402"/>
      <c r="C11" s="402"/>
      <c r="D11" s="402"/>
      <c r="E11" s="402"/>
      <c r="F11" s="402"/>
      <c r="G11" s="402"/>
      <c r="H11" s="402"/>
      <c r="I11" s="402"/>
      <c r="J11" s="402"/>
      <c r="K11" s="402"/>
      <c r="L11" s="402"/>
      <c r="M11" s="402"/>
      <c r="N11" s="402"/>
      <c r="O11" s="402"/>
      <c r="P11" s="402">
        <v>1.0129999999999999</v>
      </c>
      <c r="Q11" s="402">
        <v>1.008</v>
      </c>
      <c r="R11" s="402">
        <v>1.0069999999999999</v>
      </c>
      <c r="S11" s="402"/>
      <c r="T11" s="402"/>
      <c r="U11" s="402"/>
      <c r="V11" s="402"/>
      <c r="W11" s="343"/>
    </row>
    <row r="12" spans="1:23" ht="12" customHeight="1">
      <c r="A12" s="213">
        <f t="shared" si="0"/>
        <v>2006</v>
      </c>
      <c r="B12" s="402"/>
      <c r="C12" s="402"/>
      <c r="D12" s="402"/>
      <c r="E12" s="402"/>
      <c r="F12" s="402"/>
      <c r="G12" s="402"/>
      <c r="H12" s="402"/>
      <c r="I12" s="402"/>
      <c r="J12" s="402"/>
      <c r="K12" s="402"/>
      <c r="L12" s="402"/>
      <c r="M12" s="402"/>
      <c r="N12" s="402"/>
      <c r="O12" s="402">
        <v>1.012</v>
      </c>
      <c r="P12" s="402">
        <v>1.0109999999999999</v>
      </c>
      <c r="Q12" s="402">
        <v>1.0089999999999999</v>
      </c>
      <c r="R12" s="402"/>
      <c r="S12" s="402"/>
      <c r="T12" s="402"/>
      <c r="U12" s="402"/>
      <c r="V12" s="402"/>
      <c r="W12" s="343"/>
    </row>
    <row r="13" spans="1:23" ht="12" customHeight="1">
      <c r="A13" s="213">
        <f t="shared" si="0"/>
        <v>2007</v>
      </c>
      <c r="B13" s="402"/>
      <c r="C13" s="402"/>
      <c r="D13" s="402"/>
      <c r="E13" s="402"/>
      <c r="F13" s="402"/>
      <c r="G13" s="402"/>
      <c r="H13" s="402"/>
      <c r="I13" s="402"/>
      <c r="J13" s="402"/>
      <c r="K13" s="402"/>
      <c r="L13" s="402"/>
      <c r="M13" s="402"/>
      <c r="N13" s="402">
        <v>1.014</v>
      </c>
      <c r="O13" s="402">
        <v>1.01</v>
      </c>
      <c r="P13" s="402">
        <v>1.008</v>
      </c>
      <c r="Q13" s="402"/>
      <c r="R13" s="402"/>
      <c r="S13" s="402"/>
      <c r="T13" s="402"/>
      <c r="U13" s="402"/>
      <c r="V13" s="402"/>
      <c r="W13" s="343"/>
    </row>
    <row r="14" spans="1:23" ht="12" customHeight="1">
      <c r="A14" s="213">
        <f t="shared" si="0"/>
        <v>2008</v>
      </c>
      <c r="B14" s="402"/>
      <c r="C14" s="402"/>
      <c r="D14" s="402"/>
      <c r="E14" s="402"/>
      <c r="F14" s="402"/>
      <c r="G14" s="402"/>
      <c r="H14" s="402"/>
      <c r="I14" s="402"/>
      <c r="J14" s="402"/>
      <c r="K14" s="402"/>
      <c r="L14" s="402"/>
      <c r="M14" s="402">
        <v>1.0129999999999999</v>
      </c>
      <c r="N14" s="402">
        <v>1.01</v>
      </c>
      <c r="O14" s="402">
        <v>1.0089999999999999</v>
      </c>
      <c r="P14" s="402"/>
      <c r="Q14" s="402"/>
      <c r="R14" s="402"/>
      <c r="S14" s="402"/>
      <c r="T14" s="402"/>
      <c r="U14" s="402"/>
      <c r="V14" s="402"/>
      <c r="W14" s="343"/>
    </row>
    <row r="15" spans="1:23" ht="12" customHeight="1">
      <c r="A15" s="213">
        <f t="shared" si="0"/>
        <v>2009</v>
      </c>
      <c r="B15" s="402"/>
      <c r="C15" s="402"/>
      <c r="D15" s="402"/>
      <c r="E15" s="402"/>
      <c r="F15" s="402"/>
      <c r="G15" s="402"/>
      <c r="H15" s="402"/>
      <c r="I15" s="402"/>
      <c r="J15" s="402"/>
      <c r="K15" s="402"/>
      <c r="L15" s="402">
        <v>1.014</v>
      </c>
      <c r="M15" s="402">
        <v>1.0149999999999999</v>
      </c>
      <c r="N15" s="402">
        <v>1.01</v>
      </c>
      <c r="O15" s="402"/>
      <c r="P15" s="402"/>
      <c r="Q15" s="402"/>
      <c r="R15" s="402"/>
      <c r="S15" s="402"/>
      <c r="T15" s="402"/>
      <c r="U15" s="402"/>
      <c r="V15" s="402"/>
      <c r="W15" s="343"/>
    </row>
    <row r="16" spans="1:23" ht="12" customHeight="1">
      <c r="A16" s="213">
        <f t="shared" si="0"/>
        <v>2010</v>
      </c>
      <c r="B16" s="402"/>
      <c r="C16" s="402"/>
      <c r="D16" s="402"/>
      <c r="E16" s="402"/>
      <c r="F16" s="402"/>
      <c r="G16" s="402"/>
      <c r="H16" s="402"/>
      <c r="I16" s="402"/>
      <c r="J16" s="402"/>
      <c r="K16" s="402">
        <v>1.0189999999999999</v>
      </c>
      <c r="L16" s="402">
        <v>1.014</v>
      </c>
      <c r="M16" s="402">
        <v>1.0089999999999999</v>
      </c>
      <c r="N16" s="402"/>
      <c r="O16" s="402"/>
      <c r="P16" s="402"/>
      <c r="Q16" s="402"/>
      <c r="R16" s="402"/>
      <c r="S16" s="402"/>
      <c r="T16" s="402"/>
      <c r="U16" s="402"/>
      <c r="V16" s="402"/>
      <c r="W16" s="343"/>
    </row>
    <row r="17" spans="1:23" ht="12" customHeight="1">
      <c r="A17" s="213">
        <f t="shared" si="0"/>
        <v>2011</v>
      </c>
      <c r="B17" s="402"/>
      <c r="C17" s="402"/>
      <c r="D17" s="402"/>
      <c r="E17" s="402"/>
      <c r="F17" s="402"/>
      <c r="G17" s="402"/>
      <c r="H17" s="402"/>
      <c r="I17" s="402"/>
      <c r="J17" s="402">
        <v>1.0189999999999999</v>
      </c>
      <c r="K17" s="402">
        <v>1.016</v>
      </c>
      <c r="L17" s="402">
        <v>1.012</v>
      </c>
      <c r="M17" s="402"/>
      <c r="N17" s="402"/>
      <c r="O17" s="402"/>
      <c r="P17" s="402"/>
      <c r="Q17" s="402"/>
      <c r="R17" s="402"/>
      <c r="S17" s="402"/>
      <c r="T17" s="402"/>
      <c r="U17" s="402"/>
      <c r="V17" s="402"/>
      <c r="W17" s="343"/>
    </row>
    <row r="18" spans="1:23" ht="12" customHeight="1">
      <c r="A18" s="213">
        <f t="shared" si="0"/>
        <v>2012</v>
      </c>
      <c r="B18" s="402"/>
      <c r="C18" s="402"/>
      <c r="D18" s="402"/>
      <c r="E18" s="402"/>
      <c r="F18" s="402"/>
      <c r="G18" s="402"/>
      <c r="H18" s="402"/>
      <c r="I18" s="402">
        <v>1.0249999999999999</v>
      </c>
      <c r="J18" s="402">
        <v>1.02</v>
      </c>
      <c r="K18" s="402">
        <v>1.0149999999999999</v>
      </c>
      <c r="L18" s="402"/>
      <c r="M18" s="402"/>
      <c r="N18" s="402"/>
      <c r="O18" s="402"/>
      <c r="P18" s="402"/>
      <c r="Q18" s="402"/>
      <c r="R18" s="402"/>
      <c r="S18" s="402"/>
      <c r="T18" s="402"/>
      <c r="U18" s="402"/>
      <c r="V18" s="402"/>
      <c r="W18" s="343"/>
    </row>
    <row r="19" spans="1:23" ht="12" customHeight="1">
      <c r="A19" s="213">
        <f t="shared" si="0"/>
        <v>2013</v>
      </c>
      <c r="B19" s="402"/>
      <c r="C19" s="402"/>
      <c r="D19" s="402"/>
      <c r="E19" s="402"/>
      <c r="F19" s="402"/>
      <c r="G19" s="402"/>
      <c r="H19" s="402">
        <v>1.03</v>
      </c>
      <c r="I19" s="402">
        <v>1.022</v>
      </c>
      <c r="J19" s="402">
        <v>1.016</v>
      </c>
      <c r="K19" s="402"/>
      <c r="L19" s="402"/>
      <c r="M19" s="402"/>
      <c r="N19" s="402"/>
      <c r="O19" s="402"/>
      <c r="P19" s="402"/>
      <c r="Q19" s="402"/>
      <c r="R19" s="402"/>
      <c r="S19" s="402"/>
      <c r="T19" s="402"/>
      <c r="U19" s="402"/>
      <c r="V19" s="402"/>
      <c r="W19" s="343"/>
    </row>
    <row r="20" spans="1:23" ht="12" customHeight="1">
      <c r="A20" s="213">
        <f t="shared" si="0"/>
        <v>2014</v>
      </c>
      <c r="B20" s="402"/>
      <c r="C20" s="402"/>
      <c r="D20" s="402"/>
      <c r="E20" s="402"/>
      <c r="F20" s="402"/>
      <c r="G20" s="402">
        <v>1.0449999999999999</v>
      </c>
      <c r="H20" s="402">
        <v>1.0329999999999999</v>
      </c>
      <c r="I20" s="402">
        <v>1.022</v>
      </c>
      <c r="J20" s="402"/>
      <c r="K20" s="402"/>
      <c r="L20" s="402"/>
      <c r="M20" s="402"/>
      <c r="N20" s="402"/>
      <c r="O20" s="402"/>
      <c r="P20" s="402"/>
      <c r="Q20" s="402"/>
      <c r="R20" s="402"/>
      <c r="S20" s="402"/>
      <c r="T20" s="402"/>
      <c r="U20" s="402"/>
      <c r="V20" s="402"/>
      <c r="W20" s="343"/>
    </row>
    <row r="21" spans="1:23" ht="12" customHeight="1">
      <c r="A21" s="213">
        <f t="shared" si="0"/>
        <v>2015</v>
      </c>
      <c r="B21" s="402"/>
      <c r="C21" s="402"/>
      <c r="D21" s="402"/>
      <c r="E21" s="402"/>
      <c r="F21" s="402">
        <v>1.0640000000000001</v>
      </c>
      <c r="G21" s="402">
        <v>1.0429999999999999</v>
      </c>
      <c r="H21" s="402">
        <v>1.0289999999999999</v>
      </c>
      <c r="I21" s="402"/>
      <c r="J21" s="402"/>
      <c r="K21" s="402"/>
      <c r="L21" s="402"/>
      <c r="M21" s="402"/>
      <c r="N21" s="402"/>
      <c r="O21" s="402"/>
      <c r="P21" s="402"/>
      <c r="Q21" s="402"/>
      <c r="R21" s="402"/>
      <c r="S21" s="402"/>
      <c r="T21" s="402"/>
      <c r="U21" s="402"/>
      <c r="V21" s="402"/>
      <c r="W21" s="343"/>
    </row>
    <row r="22" spans="1:23" ht="12" customHeight="1">
      <c r="A22" s="213">
        <f t="shared" si="0"/>
        <v>2016</v>
      </c>
      <c r="B22" s="402"/>
      <c r="C22" s="402"/>
      <c r="D22" s="402"/>
      <c r="E22" s="402">
        <v>1.101</v>
      </c>
      <c r="F22" s="402">
        <v>1.0629999999999999</v>
      </c>
      <c r="G22" s="402">
        <v>1.0469999999999999</v>
      </c>
      <c r="H22" s="402"/>
      <c r="I22" s="402"/>
      <c r="J22" s="402"/>
      <c r="K22" s="402"/>
      <c r="L22" s="402"/>
      <c r="M22" s="402"/>
      <c r="N22" s="402"/>
      <c r="O22" s="402"/>
      <c r="P22" s="402"/>
      <c r="Q22" s="402"/>
      <c r="R22" s="402"/>
      <c r="S22" s="402"/>
      <c r="T22" s="402"/>
      <c r="U22" s="402"/>
      <c r="V22" s="402"/>
      <c r="W22" s="343"/>
    </row>
    <row r="23" spans="1:23" ht="12" customHeight="1">
      <c r="A23" s="213">
        <f t="shared" si="0"/>
        <v>2017</v>
      </c>
      <c r="B23" s="402"/>
      <c r="C23" s="402"/>
      <c r="D23" s="402">
        <v>1.181</v>
      </c>
      <c r="E23" s="402">
        <v>1.101</v>
      </c>
      <c r="F23" s="402">
        <v>1.0680000000000001</v>
      </c>
      <c r="G23" s="402"/>
      <c r="H23" s="402"/>
      <c r="I23" s="402"/>
      <c r="J23" s="402"/>
      <c r="K23" s="402"/>
      <c r="L23" s="402"/>
      <c r="M23" s="402"/>
      <c r="N23" s="402"/>
      <c r="O23" s="402"/>
      <c r="P23" s="402"/>
      <c r="Q23" s="402"/>
      <c r="R23" s="402"/>
      <c r="S23" s="402"/>
      <c r="T23" s="402"/>
      <c r="U23" s="402"/>
      <c r="V23" s="402"/>
      <c r="W23" s="343"/>
    </row>
    <row r="24" spans="1:23" ht="12" customHeight="1">
      <c r="A24" s="213">
        <f t="shared" si="0"/>
        <v>2018</v>
      </c>
      <c r="B24" s="402"/>
      <c r="C24" s="402">
        <v>1.387</v>
      </c>
      <c r="D24" s="402">
        <v>1.1910000000000001</v>
      </c>
      <c r="E24" s="402">
        <v>1.1020000000000001</v>
      </c>
      <c r="F24" s="402"/>
      <c r="G24" s="402"/>
      <c r="H24" s="402"/>
      <c r="I24" s="402"/>
      <c r="J24" s="402"/>
      <c r="K24" s="402"/>
      <c r="L24" s="402"/>
      <c r="M24" s="402"/>
      <c r="N24" s="402"/>
      <c r="O24" s="402"/>
      <c r="P24" s="402"/>
      <c r="Q24" s="402"/>
      <c r="R24" s="402"/>
      <c r="S24" s="402"/>
      <c r="T24" s="402"/>
      <c r="U24" s="402"/>
      <c r="V24" s="402"/>
      <c r="W24" s="343"/>
    </row>
    <row r="25" spans="1:23" ht="12" customHeight="1">
      <c r="A25" s="213">
        <f t="shared" si="0"/>
        <v>2019</v>
      </c>
      <c r="B25" s="402">
        <v>2.367</v>
      </c>
      <c r="C25" s="402">
        <v>1.419</v>
      </c>
      <c r="D25" s="402">
        <v>1.2130000000000001</v>
      </c>
      <c r="E25" s="402"/>
      <c r="F25" s="402"/>
      <c r="G25" s="402"/>
      <c r="H25" s="402"/>
      <c r="I25" s="402"/>
      <c r="J25" s="402"/>
      <c r="K25" s="402"/>
      <c r="L25" s="402"/>
      <c r="M25" s="402"/>
      <c r="N25" s="402"/>
      <c r="O25" s="402"/>
      <c r="P25" s="402"/>
      <c r="Q25" s="402"/>
      <c r="R25" s="402"/>
      <c r="S25" s="402"/>
      <c r="T25" s="402"/>
      <c r="U25" s="402"/>
      <c r="V25" s="402"/>
      <c r="W25" s="343"/>
    </row>
    <row r="26" spans="1:23" ht="12" customHeight="1">
      <c r="A26" s="213">
        <f>A27-1</f>
        <v>2020</v>
      </c>
      <c r="B26" s="402">
        <v>2.4670000000000001</v>
      </c>
      <c r="C26" s="402">
        <v>1.44</v>
      </c>
      <c r="D26" s="402"/>
      <c r="E26" s="402"/>
      <c r="F26" s="402"/>
      <c r="G26" s="402"/>
      <c r="H26" s="402"/>
      <c r="I26" s="402"/>
      <c r="J26" s="402"/>
      <c r="K26" s="402"/>
      <c r="L26" s="402"/>
      <c r="M26" s="402"/>
      <c r="N26" s="402"/>
      <c r="O26" s="402"/>
      <c r="P26" s="402"/>
      <c r="Q26" s="402"/>
      <c r="R26" s="402"/>
      <c r="S26" s="402"/>
      <c r="T26" s="402"/>
      <c r="U26" s="402"/>
      <c r="V26" s="402"/>
      <c r="W26" s="343"/>
    </row>
    <row r="27" spans="1:23" s="81" customFormat="1" ht="12" customHeight="1">
      <c r="A27" s="213">
        <f>'Exhibit 2.5.1'!A30</f>
        <v>2021</v>
      </c>
      <c r="B27" s="402">
        <v>2.4940000000000002</v>
      </c>
      <c r="C27" s="402"/>
      <c r="D27" s="402"/>
      <c r="E27" s="402"/>
      <c r="F27" s="402"/>
      <c r="G27" s="402"/>
      <c r="H27" s="402"/>
      <c r="I27" s="402"/>
      <c r="J27" s="402"/>
      <c r="K27" s="402"/>
      <c r="L27" s="402"/>
      <c r="M27" s="402"/>
      <c r="N27" s="402"/>
      <c r="O27" s="402"/>
      <c r="P27" s="402"/>
      <c r="Q27" s="402"/>
      <c r="R27" s="402"/>
      <c r="S27" s="402"/>
      <c r="T27" s="402"/>
      <c r="U27" s="402"/>
      <c r="V27" s="402"/>
      <c r="W27" s="343"/>
    </row>
    <row r="28" spans="1:23" s="67" customFormat="1" ht="12" customHeight="1">
      <c r="A28" s="213"/>
      <c r="B28" s="213"/>
      <c r="C28" s="215"/>
      <c r="D28" s="372"/>
      <c r="E28" s="372"/>
      <c r="F28" s="372"/>
      <c r="G28" s="372"/>
      <c r="H28" s="372"/>
      <c r="I28" s="372"/>
      <c r="J28" s="372"/>
      <c r="K28" s="372"/>
      <c r="L28" s="215"/>
      <c r="M28" s="372"/>
      <c r="N28" s="372"/>
      <c r="O28" s="372"/>
      <c r="P28" s="372"/>
      <c r="Q28" s="372"/>
      <c r="R28" s="372"/>
      <c r="S28" s="372"/>
      <c r="T28" s="372"/>
      <c r="U28" s="372"/>
      <c r="V28" s="372"/>
      <c r="W28" s="343"/>
    </row>
    <row r="29" spans="1:23" ht="12" customHeight="1">
      <c r="A29" s="213" t="s">
        <v>36</v>
      </c>
      <c r="B29" s="403" t="str">
        <f>TEXT(INDEX($B$47:$G$47,MATCH(B$4,$B$48:$G$48,0)),"0.000")&amp;"(d)"</f>
        <v>2.494(d)</v>
      </c>
      <c r="C29" s="403" t="str">
        <f t="shared" ref="C29:G29" si="1">TEXT(INDEX($B$47:$G$47,MATCH(C$4,$B$48:$G$48,0)),"0.000")&amp;"(d)"</f>
        <v>1.425(d)</v>
      </c>
      <c r="D29" s="403" t="str">
        <f t="shared" si="1"/>
        <v>1.214(d)</v>
      </c>
      <c r="E29" s="403" t="str">
        <f t="shared" si="1"/>
        <v>1.109(d)</v>
      </c>
      <c r="F29" s="403" t="str">
        <f t="shared" si="1"/>
        <v>1.071(d)</v>
      </c>
      <c r="G29" s="403" t="str">
        <f t="shared" si="1"/>
        <v>1.046(d)</v>
      </c>
      <c r="H29" s="403">
        <f>H21</f>
        <v>1.0289999999999999</v>
      </c>
      <c r="I29" s="403">
        <f>I20</f>
        <v>1.022</v>
      </c>
      <c r="J29" s="403">
        <f>AVERAGE(J17:J19)</f>
        <v>1.0183333333333333</v>
      </c>
      <c r="K29" s="403">
        <f>AVERAGE(K16:K18)</f>
        <v>1.0166666666666666</v>
      </c>
      <c r="L29" s="403">
        <f>AVERAGE(L15:L17)</f>
        <v>1.0133333333333334</v>
      </c>
      <c r="M29" s="403">
        <f>AVERAGE(M14:M16)</f>
        <v>1.0123333333333331</v>
      </c>
      <c r="N29" s="403">
        <f>AVERAGE(N13:N15)</f>
        <v>1.0113333333333332</v>
      </c>
      <c r="O29" s="403">
        <f>AVERAGE(O12:O14)</f>
        <v>1.0103333333333333</v>
      </c>
      <c r="P29" s="403">
        <f>AVERAGE(P11:P13)</f>
        <v>1.0106666666666666</v>
      </c>
      <c r="Q29" s="403">
        <f>AVERAGE(Q10:Q12)</f>
        <v>1.0089999999999999</v>
      </c>
      <c r="R29" s="403">
        <f>AVERAGE(R9:R11)</f>
        <v>1.0090000000000001</v>
      </c>
      <c r="S29" s="403">
        <f>AVERAGE(S8:S10)</f>
        <v>1.008</v>
      </c>
      <c r="T29" s="403">
        <f>AVERAGE(T7:T9)</f>
        <v>1.0073333333333332</v>
      </c>
      <c r="U29" s="403">
        <f>AVERAGE(U6:U8)</f>
        <v>1.0056666666666667</v>
      </c>
      <c r="V29" s="403">
        <f>AVERAGE(V5:V7)</f>
        <v>1.0053333333333334</v>
      </c>
      <c r="W29" s="343"/>
    </row>
    <row r="30" spans="1:23" s="130" customFormat="1" ht="12" customHeight="1">
      <c r="A30" s="213"/>
      <c r="B30" s="215"/>
      <c r="C30" s="215"/>
      <c r="D30" s="215"/>
      <c r="E30" s="215"/>
      <c r="F30" s="215"/>
      <c r="G30" s="215"/>
      <c r="H30" s="215"/>
      <c r="I30" s="215"/>
      <c r="J30" s="215"/>
      <c r="K30" s="215"/>
      <c r="L30" s="215"/>
      <c r="M30" s="215"/>
      <c r="N30" s="215"/>
      <c r="O30" s="215"/>
      <c r="P30" s="215"/>
      <c r="Q30" s="215"/>
      <c r="R30" s="215"/>
      <c r="S30" s="215"/>
      <c r="T30" s="215"/>
      <c r="U30" s="215"/>
      <c r="V30" s="215"/>
      <c r="W30" s="343"/>
    </row>
    <row r="31" spans="1:23" s="130" customFormat="1" ht="12" customHeight="1">
      <c r="A31" s="217" t="s">
        <v>311</v>
      </c>
      <c r="B31" s="215"/>
      <c r="C31" s="215"/>
      <c r="D31" s="215"/>
      <c r="E31" s="215"/>
      <c r="F31" s="215"/>
      <c r="G31" s="215"/>
      <c r="H31" s="215"/>
      <c r="I31" s="215"/>
      <c r="J31" s="215"/>
      <c r="K31" s="215"/>
      <c r="L31" s="215"/>
      <c r="M31" s="215" t="s">
        <v>443</v>
      </c>
      <c r="N31" s="215"/>
      <c r="O31" s="215"/>
      <c r="P31" s="215"/>
      <c r="Q31" s="215"/>
      <c r="R31" s="215"/>
      <c r="S31" s="215"/>
      <c r="T31" s="215"/>
      <c r="U31" s="215"/>
      <c r="V31" s="215"/>
      <c r="W31" s="343"/>
    </row>
    <row r="32" spans="1:23" s="130" customFormat="1" ht="12" customHeight="1">
      <c r="A32" s="217" t="s">
        <v>310</v>
      </c>
      <c r="B32" s="403">
        <f t="shared" ref="B32:G32" ca="1" si="2">B47*C32</f>
        <v>7.1362695697754859</v>
      </c>
      <c r="C32" s="403">
        <f t="shared" ca="1" si="2"/>
        <v>2.861110469425753</v>
      </c>
      <c r="D32" s="403">
        <f t="shared" ca="1" si="2"/>
        <v>2.0076324553643223</v>
      </c>
      <c r="E32" s="403">
        <f t="shared" ca="1" si="2"/>
        <v>1.6535141599706482</v>
      </c>
      <c r="F32" s="403">
        <f t="shared" ca="1" si="2"/>
        <v>1.4907737153370468</v>
      </c>
      <c r="G32" s="403">
        <f t="shared" ca="1" si="2"/>
        <v>1.39147232685584</v>
      </c>
      <c r="H32" s="403">
        <f t="shared" ref="H32:S32" ca="1" si="3">H29*I32</f>
        <v>1.3304073077287843</v>
      </c>
      <c r="I32" s="403">
        <f t="shared" ca="1" si="3"/>
        <v>1.2929128354993047</v>
      </c>
      <c r="J32" s="403">
        <f t="shared" ca="1" si="3"/>
        <v>1.2650810523476563</v>
      </c>
      <c r="K32" s="403">
        <f t="shared" ca="1" si="3"/>
        <v>1.2423054523872239</v>
      </c>
      <c r="L32" s="403">
        <f t="shared" ca="1" si="3"/>
        <v>1.221939789233335</v>
      </c>
      <c r="M32" s="403">
        <f t="shared" ca="1" si="3"/>
        <v>1.2058616341118438</v>
      </c>
      <c r="N32" s="403">
        <f t="shared" ca="1" si="3"/>
        <v>1.1911705308974423</v>
      </c>
      <c r="O32" s="403">
        <f t="shared" ca="1" si="3"/>
        <v>1.1778218828913405</v>
      </c>
      <c r="P32" s="403">
        <f t="shared" ca="1" si="3"/>
        <v>1.1657755356892185</v>
      </c>
      <c r="Q32" s="403">
        <f t="shared" ca="1" si="3"/>
        <v>1.1534718361041081</v>
      </c>
      <c r="R32" s="403">
        <f t="shared" ca="1" si="3"/>
        <v>1.1431831874173521</v>
      </c>
      <c r="S32" s="403">
        <f t="shared" ca="1" si="3"/>
        <v>1.1329863106217561</v>
      </c>
      <c r="T32" s="403">
        <f ca="1">T29*U32</f>
        <v>1.1239943557755516</v>
      </c>
      <c r="U32" s="403">
        <f ca="1">U29*V32</f>
        <v>1.1158117363754649</v>
      </c>
      <c r="V32" s="403">
        <f ca="1">V29*'Exhibit 2.6.2'!B27</f>
        <v>1.1095244312649635</v>
      </c>
      <c r="W32" s="343"/>
    </row>
    <row r="33" spans="1:23" s="130" customFormat="1" ht="12" customHeight="1">
      <c r="A33" s="343"/>
      <c r="B33" s="215"/>
      <c r="C33" s="215"/>
      <c r="D33" s="215"/>
      <c r="E33" s="215"/>
      <c r="F33" s="215"/>
      <c r="G33" s="215"/>
      <c r="H33" s="215"/>
      <c r="I33" s="215"/>
      <c r="J33" s="215"/>
      <c r="K33" s="215"/>
      <c r="L33" s="215"/>
      <c r="M33" s="215"/>
      <c r="N33" s="215"/>
      <c r="O33" s="215"/>
      <c r="P33" s="215"/>
      <c r="Q33" s="215"/>
      <c r="R33" s="215"/>
      <c r="S33" s="215"/>
      <c r="T33" s="215"/>
      <c r="U33" s="215"/>
      <c r="V33" s="215"/>
      <c r="W33" s="343"/>
    </row>
    <row r="34" spans="1:23" s="130" customFormat="1" ht="12" customHeight="1">
      <c r="A34" s="217" t="s">
        <v>309</v>
      </c>
      <c r="B34" s="215"/>
      <c r="C34" s="215"/>
      <c r="D34" s="215"/>
      <c r="E34" s="215"/>
      <c r="F34" s="215"/>
      <c r="G34" s="215"/>
      <c r="H34" s="215"/>
      <c r="I34" s="215"/>
      <c r="J34" s="215"/>
      <c r="K34" s="215"/>
      <c r="L34" s="215"/>
      <c r="M34" s="215"/>
      <c r="N34" s="215"/>
      <c r="O34" s="215"/>
      <c r="P34" s="215"/>
      <c r="Q34" s="215"/>
      <c r="R34" s="215"/>
      <c r="S34" s="215"/>
      <c r="T34" s="215"/>
      <c r="U34" s="215"/>
      <c r="V34" s="215"/>
      <c r="W34" s="343"/>
    </row>
    <row r="35" spans="1:23" ht="14.5" customHeight="1">
      <c r="A35" s="217" t="s">
        <v>369</v>
      </c>
      <c r="B35" s="403">
        <f ca="1">B32*C52</f>
        <v>7.0560674166641508</v>
      </c>
      <c r="C35" s="403">
        <f ca="1">C32*C53</f>
        <v>2.8289554032957964</v>
      </c>
      <c r="D35" s="403">
        <f ca="1">D32*C54</f>
        <v>1.9850693439232447</v>
      </c>
      <c r="E35" s="403">
        <f ca="1">E32*C55</f>
        <v>1.6349308659214159</v>
      </c>
      <c r="F35" s="403">
        <f ca="1">C56*F32</f>
        <v>1.474019406856576</v>
      </c>
      <c r="G35" s="403">
        <f ca="1">G32*C57</f>
        <v>1.375834033554626</v>
      </c>
      <c r="H35" s="175" t="s">
        <v>32</v>
      </c>
      <c r="I35" s="175" t="s">
        <v>32</v>
      </c>
      <c r="J35" s="175" t="s">
        <v>32</v>
      </c>
      <c r="K35" s="175" t="s">
        <v>32</v>
      </c>
      <c r="L35" s="175" t="s">
        <v>32</v>
      </c>
      <c r="M35" s="175" t="s">
        <v>32</v>
      </c>
      <c r="N35" s="175" t="s">
        <v>32</v>
      </c>
      <c r="O35" s="175" t="s">
        <v>32</v>
      </c>
      <c r="P35" s="175" t="s">
        <v>32</v>
      </c>
      <c r="Q35" s="175" t="s">
        <v>32</v>
      </c>
      <c r="R35" s="175" t="s">
        <v>32</v>
      </c>
      <c r="S35" s="175" t="s">
        <v>32</v>
      </c>
      <c r="T35" s="175" t="s">
        <v>32</v>
      </c>
      <c r="U35" s="175" t="s">
        <v>32</v>
      </c>
      <c r="V35" s="175" t="s">
        <v>32</v>
      </c>
      <c r="W35" s="343"/>
    </row>
    <row r="36" spans="1:23" ht="5.15" customHeight="1">
      <c r="A36" s="217"/>
      <c r="B36" s="217"/>
      <c r="C36" s="215"/>
      <c r="D36" s="215"/>
      <c r="E36" s="215"/>
      <c r="F36" s="215"/>
      <c r="G36" s="215"/>
      <c r="H36" s="215"/>
      <c r="I36" s="215"/>
      <c r="J36" s="215"/>
      <c r="K36" s="215"/>
      <c r="L36" s="215"/>
      <c r="M36" s="215"/>
      <c r="N36" s="215"/>
      <c r="O36" s="215"/>
      <c r="P36" s="215"/>
      <c r="Q36" s="215"/>
      <c r="R36" s="215"/>
      <c r="S36" s="215"/>
      <c r="T36" s="372"/>
      <c r="U36" s="372"/>
      <c r="V36" s="372"/>
      <c r="W36" s="343"/>
    </row>
    <row r="37" spans="1:23" ht="6" customHeight="1">
      <c r="A37" s="217"/>
      <c r="B37" s="217"/>
      <c r="C37" s="215"/>
      <c r="D37" s="215"/>
      <c r="E37" s="215"/>
      <c r="F37" s="215"/>
      <c r="G37" s="215"/>
      <c r="H37" s="215"/>
      <c r="I37" s="215"/>
      <c r="J37" s="215"/>
      <c r="K37" s="215"/>
      <c r="L37" s="215"/>
      <c r="M37" s="215"/>
      <c r="N37" s="215"/>
      <c r="O37" s="215"/>
      <c r="P37" s="215"/>
      <c r="Q37" s="215"/>
      <c r="R37" s="215"/>
      <c r="S37" s="215"/>
      <c r="T37" s="372"/>
      <c r="U37" s="372"/>
      <c r="V37" s="372"/>
      <c r="W37" s="343"/>
    </row>
    <row r="38" spans="1:23" ht="6" customHeight="1">
      <c r="A38" s="217"/>
      <c r="B38" s="217"/>
      <c r="C38" s="215"/>
      <c r="D38" s="215"/>
      <c r="E38" s="215"/>
      <c r="F38" s="215"/>
      <c r="G38" s="215"/>
      <c r="H38" s="215"/>
      <c r="I38" s="215"/>
      <c r="J38" s="215"/>
      <c r="K38" s="215"/>
      <c r="L38" s="215"/>
      <c r="M38" s="215"/>
      <c r="N38" s="215"/>
      <c r="O38" s="215"/>
      <c r="P38" s="215"/>
      <c r="Q38" s="372"/>
      <c r="R38" s="372"/>
      <c r="S38" s="372"/>
      <c r="T38" s="372"/>
      <c r="U38" s="372"/>
      <c r="V38" s="372"/>
      <c r="W38" s="343"/>
    </row>
    <row r="39" spans="1:23">
      <c r="A39" s="18" t="s">
        <v>37</v>
      </c>
      <c r="B39" s="515" t="s">
        <v>280</v>
      </c>
      <c r="C39" s="515"/>
      <c r="D39" s="515"/>
      <c r="E39" s="515"/>
      <c r="F39" s="515"/>
      <c r="G39" s="515"/>
      <c r="H39" s="515"/>
      <c r="I39" s="515"/>
      <c r="J39" s="515"/>
      <c r="K39" s="515"/>
      <c r="L39" s="515"/>
      <c r="M39" s="515"/>
      <c r="N39" s="515"/>
      <c r="O39" s="515"/>
      <c r="P39" s="515"/>
      <c r="Q39" s="515"/>
      <c r="R39" s="515"/>
      <c r="S39" s="515"/>
      <c r="T39" s="372"/>
      <c r="U39" s="372"/>
      <c r="V39" s="372"/>
      <c r="W39" s="343"/>
    </row>
    <row r="40" spans="1:23" ht="26.15" customHeight="1">
      <c r="A40" s="18" t="s">
        <v>25</v>
      </c>
      <c r="B40" s="514" t="s">
        <v>444</v>
      </c>
      <c r="C40" s="514"/>
      <c r="D40" s="514"/>
      <c r="E40" s="514"/>
      <c r="F40" s="514"/>
      <c r="G40" s="514"/>
      <c r="H40" s="514"/>
      <c r="I40" s="514"/>
      <c r="J40" s="514"/>
      <c r="K40" s="514"/>
      <c r="L40" s="514"/>
      <c r="M40" s="514"/>
      <c r="N40" s="514"/>
      <c r="O40" s="514"/>
      <c r="P40" s="514"/>
      <c r="Q40" s="514"/>
      <c r="R40" s="514"/>
      <c r="S40" s="514"/>
      <c r="T40" s="514"/>
      <c r="U40" s="514"/>
      <c r="V40" s="514"/>
      <c r="W40" s="343"/>
    </row>
    <row r="41" spans="1:23" ht="12.75" customHeight="1">
      <c r="A41" s="18" t="s">
        <v>26</v>
      </c>
      <c r="B41" s="514" t="s">
        <v>491</v>
      </c>
      <c r="C41" s="514"/>
      <c r="D41" s="514"/>
      <c r="E41" s="514"/>
      <c r="F41" s="514"/>
      <c r="G41" s="514"/>
      <c r="H41" s="514"/>
      <c r="I41" s="514"/>
      <c r="J41" s="514"/>
      <c r="K41" s="514"/>
      <c r="L41" s="514"/>
      <c r="M41" s="514"/>
      <c r="N41" s="514"/>
      <c r="O41" s="514"/>
      <c r="P41" s="514"/>
      <c r="Q41" s="514"/>
      <c r="R41" s="514"/>
      <c r="S41" s="514"/>
      <c r="T41" s="514"/>
      <c r="U41" s="514"/>
      <c r="V41" s="514"/>
      <c r="W41" s="343"/>
    </row>
    <row r="42" spans="1:23" ht="12.75" customHeight="1">
      <c r="A42" s="18" t="s">
        <v>30</v>
      </c>
      <c r="B42" s="514" t="s">
        <v>445</v>
      </c>
      <c r="C42" s="514"/>
      <c r="D42" s="514"/>
      <c r="E42" s="514"/>
      <c r="F42" s="514"/>
      <c r="G42" s="514"/>
      <c r="H42" s="514"/>
      <c r="I42" s="514"/>
      <c r="J42" s="514"/>
      <c r="K42" s="514"/>
      <c r="L42" s="514"/>
      <c r="M42" s="514"/>
      <c r="N42" s="514"/>
      <c r="O42" s="514"/>
      <c r="P42" s="514"/>
      <c r="Q42" s="514"/>
      <c r="R42" s="514"/>
      <c r="S42" s="514"/>
      <c r="T42" s="514"/>
      <c r="U42" s="514"/>
      <c r="V42" s="514"/>
      <c r="W42" s="343"/>
    </row>
    <row r="43" spans="1:23" s="179" customFormat="1" ht="12.75" customHeight="1">
      <c r="A43" s="18"/>
      <c r="B43" s="514"/>
      <c r="C43" s="514"/>
      <c r="D43" s="514"/>
      <c r="E43" s="514"/>
      <c r="F43" s="514"/>
      <c r="G43" s="514"/>
      <c r="H43" s="514"/>
      <c r="I43" s="514"/>
      <c r="J43" s="514"/>
      <c r="K43" s="514"/>
      <c r="L43" s="514"/>
      <c r="M43" s="514"/>
      <c r="N43" s="514"/>
      <c r="O43" s="514"/>
      <c r="P43" s="514"/>
      <c r="Q43" s="514"/>
      <c r="R43" s="514"/>
      <c r="S43" s="514"/>
      <c r="T43" s="514"/>
      <c r="U43" s="514"/>
      <c r="V43" s="514"/>
      <c r="W43" s="343"/>
    </row>
    <row r="44" spans="1:23" s="69" customFormat="1" ht="12.75" customHeight="1">
      <c r="A44" s="18" t="s">
        <v>39</v>
      </c>
      <c r="B44" s="77" t="s">
        <v>488</v>
      </c>
      <c r="C44" s="77"/>
      <c r="D44" s="77"/>
      <c r="E44" s="77"/>
      <c r="F44" s="77"/>
      <c r="G44" s="77"/>
      <c r="H44" s="77"/>
      <c r="I44" s="77"/>
      <c r="J44" s="77"/>
      <c r="K44" s="77"/>
      <c r="L44" s="77"/>
      <c r="M44" s="77"/>
      <c r="N44" s="77"/>
      <c r="O44" s="77"/>
      <c r="P44" s="77"/>
      <c r="Q44" s="77"/>
      <c r="R44" s="77"/>
      <c r="S44" s="77"/>
      <c r="T44" s="77"/>
      <c r="U44" s="77"/>
      <c r="V44" s="77"/>
      <c r="W44" s="343"/>
    </row>
    <row r="45" spans="1:23" ht="12.75" customHeight="1">
      <c r="A45" s="198"/>
      <c r="B45" s="215"/>
      <c r="C45" s="215"/>
      <c r="D45" s="215"/>
      <c r="E45" s="215"/>
      <c r="F45" s="215"/>
      <c r="G45" s="215"/>
      <c r="H45" s="343"/>
      <c r="I45" s="343"/>
      <c r="J45" s="343"/>
      <c r="K45" s="343"/>
      <c r="L45" s="343"/>
      <c r="M45" s="343"/>
      <c r="N45" s="343"/>
      <c r="O45" s="343"/>
      <c r="P45" s="343"/>
      <c r="Q45" s="343"/>
      <c r="R45" s="343"/>
      <c r="S45" s="343"/>
      <c r="T45" s="343"/>
      <c r="U45" s="343"/>
      <c r="V45" s="343"/>
      <c r="W45" s="343"/>
    </row>
    <row r="46" spans="1:23">
      <c r="A46" s="229"/>
      <c r="B46" s="403" t="str">
        <f>'Exhibits 2.6.3 - 2.6.8'!D$330</f>
        <v>12-24</v>
      </c>
      <c r="C46" s="403" t="str">
        <f>'Exhibits 2.6.3 - 2.6.8'!E$330</f>
        <v>24-36</v>
      </c>
      <c r="D46" s="403" t="str">
        <f>'Exhibits 2.6.3 - 2.6.8'!F$330</f>
        <v>36-48</v>
      </c>
      <c r="E46" s="403" t="str">
        <f>'Exhibits 2.6.3 - 2.6.8'!G$330</f>
        <v>48-60</v>
      </c>
      <c r="F46" s="403" t="str">
        <f>'Exhibits 2.6.3 - 2.6.8'!H$330</f>
        <v>60-72</v>
      </c>
      <c r="G46" s="403" t="str">
        <f>'Exhibits 2.6.3 - 2.6.8'!I$330</f>
        <v>72-84</v>
      </c>
      <c r="H46" s="343"/>
      <c r="I46" s="343"/>
      <c r="J46" s="343"/>
      <c r="K46" s="343"/>
      <c r="L46" s="343"/>
      <c r="M46" s="343"/>
      <c r="N46" s="343"/>
      <c r="O46" s="343"/>
      <c r="P46" s="343"/>
      <c r="Q46" s="343"/>
      <c r="R46" s="343"/>
      <c r="S46" s="343"/>
      <c r="T46" s="343"/>
      <c r="U46" s="343"/>
      <c r="V46" s="343"/>
      <c r="W46" s="343"/>
    </row>
    <row r="47" spans="1:23">
      <c r="A47" s="43" t="str">
        <f>'Exhibits 2.6.3 - 2.6.8'!C$341</f>
        <v>Latest Year</v>
      </c>
      <c r="B47" s="403">
        <f>'Exhibits 2.6.3 - 2.6.8'!D$341</f>
        <v>2.4942307002944175</v>
      </c>
      <c r="C47" s="403">
        <f>'Exhibits 2.6.3 - 2.6.8'!E$341</f>
        <v>1.425116665045421</v>
      </c>
      <c r="D47" s="403">
        <f>'Exhibits 2.6.3 - 2.6.8'!F$341</f>
        <v>1.2141610298637904</v>
      </c>
      <c r="E47" s="403">
        <f>'Exhibits 2.6.3 - 2.6.8'!G$341</f>
        <v>1.1091650885438422</v>
      </c>
      <c r="F47" s="403">
        <f>'Exhibits 2.6.3 - 2.6.8'!H$341</f>
        <v>1.0713642568124855</v>
      </c>
      <c r="G47" s="403">
        <f>'Exhibits 2.6.3 - 2.6.8'!I$341</f>
        <v>1.045899491661169</v>
      </c>
      <c r="H47" s="343"/>
      <c r="I47" s="343"/>
      <c r="J47" s="343"/>
      <c r="K47" s="343"/>
      <c r="L47" s="343"/>
      <c r="M47" s="343"/>
      <c r="N47" s="343"/>
      <c r="O47" s="343"/>
      <c r="P47" s="343"/>
      <c r="Q47" s="343"/>
      <c r="R47" s="343"/>
      <c r="S47" s="343"/>
      <c r="T47" s="343"/>
      <c r="U47" s="343"/>
      <c r="V47" s="343"/>
      <c r="W47" s="343"/>
    </row>
    <row r="48" spans="1:23">
      <c r="A48" s="229"/>
      <c r="B48" s="229" t="str">
        <f t="shared" ref="B48:G48" si="4">RIGHT(B46,2)&amp;"/"&amp;LEFT(B46,FIND("-",B46)-1)</f>
        <v>24/12</v>
      </c>
      <c r="C48" s="229" t="str">
        <f t="shared" si="4"/>
        <v>36/24</v>
      </c>
      <c r="D48" s="229" t="str">
        <f t="shared" si="4"/>
        <v>48/36</v>
      </c>
      <c r="E48" s="229" t="str">
        <f t="shared" si="4"/>
        <v>60/48</v>
      </c>
      <c r="F48" s="229" t="str">
        <f t="shared" si="4"/>
        <v>72/60</v>
      </c>
      <c r="G48" s="229" t="str">
        <f t="shared" si="4"/>
        <v>84/72</v>
      </c>
      <c r="H48" s="343"/>
      <c r="I48" s="343"/>
      <c r="J48" s="343"/>
      <c r="K48" s="343"/>
      <c r="L48" s="343"/>
      <c r="M48" s="343"/>
      <c r="N48" s="343"/>
      <c r="O48" s="343"/>
      <c r="P48" s="343"/>
      <c r="Q48" s="343"/>
      <c r="R48" s="343"/>
      <c r="S48" s="343"/>
      <c r="T48" s="343"/>
      <c r="U48" s="343"/>
      <c r="V48" s="343"/>
      <c r="W48" s="343"/>
    </row>
    <row r="49" spans="1:23">
      <c r="A49" s="381" t="s">
        <v>561</v>
      </c>
      <c r="B49" s="381"/>
      <c r="C49" s="381"/>
      <c r="D49" s="343"/>
      <c r="E49" s="343"/>
      <c r="F49" s="343"/>
      <c r="G49" s="343"/>
      <c r="H49" s="343"/>
      <c r="I49" s="343"/>
      <c r="J49" s="343"/>
      <c r="K49" s="343"/>
      <c r="L49" s="343"/>
      <c r="M49" s="343"/>
      <c r="N49" s="343"/>
      <c r="O49" s="343"/>
      <c r="P49" s="343"/>
      <c r="Q49" s="343"/>
      <c r="R49" s="343"/>
      <c r="S49" s="343"/>
      <c r="T49" s="343"/>
      <c r="U49" s="343"/>
      <c r="V49" s="343"/>
      <c r="W49" s="343"/>
    </row>
    <row r="50" spans="1:23">
      <c r="A50" s="404"/>
      <c r="B50" s="405" t="s">
        <v>560</v>
      </c>
      <c r="C50" s="406"/>
      <c r="D50" s="200"/>
      <c r="E50" s="200"/>
      <c r="F50" s="200"/>
      <c r="G50" s="200"/>
      <c r="H50" s="343"/>
      <c r="I50" s="343"/>
      <c r="J50" s="343"/>
      <c r="K50" s="343"/>
      <c r="L50" s="343"/>
      <c r="M50" s="343"/>
      <c r="N50" s="343"/>
      <c r="O50" s="343"/>
      <c r="P50" s="343"/>
      <c r="Q50" s="343"/>
      <c r="R50" s="343"/>
      <c r="S50" s="343"/>
      <c r="T50" s="343"/>
      <c r="U50" s="343"/>
      <c r="V50" s="343"/>
      <c r="W50" s="343"/>
    </row>
    <row r="51" spans="1:23">
      <c r="A51" s="407" t="s">
        <v>176</v>
      </c>
      <c r="B51" s="408" t="s">
        <v>232</v>
      </c>
      <c r="C51" s="409" t="s">
        <v>231</v>
      </c>
    </row>
    <row r="52" spans="1:23">
      <c r="A52" s="410">
        <f>'[4]Exhibit 2.4.1'!A69</f>
        <v>2021</v>
      </c>
      <c r="B52" s="439">
        <f>'Exhibit 2.4.1'!B69</f>
        <v>-1.1238666410671838E-2</v>
      </c>
      <c r="C52" s="412">
        <f>'Exhibit 2.4.1'!C69</f>
        <v>0.98876133358932816</v>
      </c>
    </row>
    <row r="53" spans="1:23">
      <c r="A53" s="413">
        <f>'[4]Exhibit 2.4.1'!A70</f>
        <v>2020</v>
      </c>
      <c r="B53" s="440">
        <f>'Exhibit 2.4.1'!B70</f>
        <v>-1.1238666410671838E-2</v>
      </c>
      <c r="C53" s="415">
        <f>'Exhibit 2.4.1'!C70</f>
        <v>0.98876133358932816</v>
      </c>
    </row>
    <row r="54" spans="1:23">
      <c r="A54" s="413">
        <f>'[4]Exhibit 2.4.1'!A71</f>
        <v>2019</v>
      </c>
      <c r="B54" s="440">
        <f>'Exhibit 2.4.1'!B71</f>
        <v>-1.1238666410671838E-2</v>
      </c>
      <c r="C54" s="415">
        <f>'Exhibit 2.4.1'!C71</f>
        <v>0.98876133358932816</v>
      </c>
    </row>
    <row r="55" spans="1:23">
      <c r="A55" s="413">
        <f>'[4]Exhibit 2.4.1'!A72</f>
        <v>2018</v>
      </c>
      <c r="B55" s="440">
        <f>'Exhibit 2.4.1'!B72</f>
        <v>-1.1238666410671838E-2</v>
      </c>
      <c r="C55" s="415">
        <f>'Exhibit 2.4.1'!C72</f>
        <v>0.98876133358932816</v>
      </c>
    </row>
    <row r="56" spans="1:23">
      <c r="A56" s="413">
        <f>'[4]Exhibit 2.4.1'!A73</f>
        <v>2017</v>
      </c>
      <c r="B56" s="440">
        <f>'Exhibit 2.4.1'!B73</f>
        <v>-1.1238666410671838E-2</v>
      </c>
      <c r="C56" s="415">
        <f>'Exhibit 2.4.1'!C73</f>
        <v>0.98876133358932816</v>
      </c>
    </row>
    <row r="57" spans="1:23">
      <c r="A57" s="416">
        <f>'[4]Exhibit 2.4.1'!A74</f>
        <v>2016</v>
      </c>
      <c r="B57" s="441">
        <f>'Exhibit 2.4.1'!B74</f>
        <v>-1.1238666410671838E-2</v>
      </c>
      <c r="C57" s="418">
        <f>'Exhibit 2.4.1'!C74</f>
        <v>0.98876133358932816</v>
      </c>
    </row>
  </sheetData>
  <mergeCells count="4">
    <mergeCell ref="B41:V41"/>
    <mergeCell ref="B42:V43"/>
    <mergeCell ref="B39:S39"/>
    <mergeCell ref="B40:V40"/>
  </mergeCells>
  <printOptions horizontalCentered="1"/>
  <pageMargins left="0.7" right="0.7" top="0.75" bottom="0.75" header="0.3" footer="0.3"/>
  <pageSetup scale="66" orientation="landscape" blackAndWhite="1"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R31"/>
  <sheetViews>
    <sheetView zoomScaleNormal="100" zoomScaleSheetLayoutView="115" workbookViewId="0"/>
  </sheetViews>
  <sheetFormatPr defaultColWidth="9.1796875" defaultRowHeight="12.5"/>
  <cols>
    <col min="1" max="1" width="13.54296875" style="85" bestFit="1" customWidth="1"/>
    <col min="2" max="2" width="8.1796875" style="85" customWidth="1"/>
    <col min="3" max="3" width="8.1796875" style="214" customWidth="1"/>
    <col min="4" max="14" width="8.1796875" style="85" customWidth="1"/>
    <col min="15" max="16" width="8.1796875" style="229" customWidth="1"/>
    <col min="17" max="17" width="8.1796875" style="85" customWidth="1"/>
    <col min="18" max="18" width="14.453125" style="85" bestFit="1" customWidth="1"/>
    <col min="19" max="16384" width="9.1796875" style="85"/>
  </cols>
  <sheetData>
    <row r="1" spans="1:18" ht="13">
      <c r="A1" s="225" t="str">
        <f>+'Exhibit 2.6.1'!A1&amp;" (Continued)"</f>
        <v>Selected Medical Development Factors - Paid to Ultimate (Continued)</v>
      </c>
      <c r="B1" s="225"/>
      <c r="C1" s="225"/>
      <c r="D1" s="225"/>
      <c r="E1" s="225"/>
      <c r="F1" s="225"/>
      <c r="G1" s="225"/>
      <c r="H1" s="225"/>
      <c r="I1" s="225"/>
      <c r="J1" s="225"/>
      <c r="K1" s="225"/>
      <c r="L1" s="225"/>
      <c r="M1" s="225"/>
      <c r="N1" s="225"/>
      <c r="O1" s="225"/>
      <c r="P1" s="225"/>
      <c r="Q1" s="225"/>
      <c r="R1" s="225"/>
    </row>
    <row r="2" spans="1:18" ht="13">
      <c r="A2" s="343"/>
      <c r="B2" s="226"/>
      <c r="C2" s="226"/>
      <c r="D2" s="226"/>
      <c r="E2" s="226"/>
      <c r="F2" s="226"/>
      <c r="G2" s="226"/>
      <c r="H2" s="226"/>
      <c r="I2" s="226"/>
      <c r="J2" s="226"/>
      <c r="K2" s="226"/>
      <c r="L2" s="226"/>
      <c r="M2" s="215"/>
      <c r="N2" s="226"/>
      <c r="O2" s="226"/>
      <c r="P2" s="226"/>
      <c r="Q2" s="226"/>
      <c r="R2" s="226"/>
    </row>
    <row r="3" spans="1:18">
      <c r="A3" s="343"/>
      <c r="B3" s="221" t="s">
        <v>18</v>
      </c>
      <c r="C3" s="221"/>
      <c r="D3" s="221"/>
      <c r="E3" s="221"/>
      <c r="F3" s="221"/>
      <c r="G3" s="221"/>
      <c r="H3" s="221"/>
      <c r="I3" s="221"/>
      <c r="J3" s="221"/>
      <c r="K3" s="221"/>
      <c r="L3" s="221"/>
      <c r="M3" s="221"/>
      <c r="N3" s="221"/>
      <c r="O3" s="221"/>
      <c r="P3" s="221"/>
      <c r="Q3" s="221"/>
      <c r="R3" s="221"/>
    </row>
    <row r="4" spans="1:18">
      <c r="A4" s="216" t="s">
        <v>19</v>
      </c>
      <c r="B4" s="216" t="s">
        <v>528</v>
      </c>
      <c r="C4" s="216" t="s">
        <v>529</v>
      </c>
      <c r="D4" s="216" t="s">
        <v>530</v>
      </c>
      <c r="E4" s="216" t="s">
        <v>531</v>
      </c>
      <c r="F4" s="216" t="s">
        <v>532</v>
      </c>
      <c r="G4" s="216" t="s">
        <v>533</v>
      </c>
      <c r="H4" s="216" t="s">
        <v>534</v>
      </c>
      <c r="I4" s="216" t="s">
        <v>535</v>
      </c>
      <c r="J4" s="216" t="s">
        <v>536</v>
      </c>
      <c r="K4" s="216" t="s">
        <v>537</v>
      </c>
      <c r="L4" s="216" t="s">
        <v>538</v>
      </c>
      <c r="M4" s="216" t="s">
        <v>539</v>
      </c>
      <c r="N4" s="216" t="s">
        <v>540</v>
      </c>
      <c r="O4" s="216" t="s">
        <v>541</v>
      </c>
      <c r="P4" s="216" t="s">
        <v>542</v>
      </c>
      <c r="Q4" s="216" t="s">
        <v>543</v>
      </c>
      <c r="R4" s="216" t="s">
        <v>549</v>
      </c>
    </row>
    <row r="5" spans="1:18">
      <c r="A5" s="213">
        <f t="shared" ref="A5:A21" si="0">+A6-1</f>
        <v>1983</v>
      </c>
      <c r="B5" s="402" t="s">
        <v>34</v>
      </c>
      <c r="C5" s="402" t="s">
        <v>34</v>
      </c>
      <c r="D5" s="402" t="s">
        <v>34</v>
      </c>
      <c r="E5" s="402" t="s">
        <v>34</v>
      </c>
      <c r="F5" s="402" t="s">
        <v>34</v>
      </c>
      <c r="G5" s="402" t="s">
        <v>34</v>
      </c>
      <c r="H5" s="402" t="s">
        <v>34</v>
      </c>
      <c r="I5" s="402" t="s">
        <v>34</v>
      </c>
      <c r="J5" s="402" t="s">
        <v>34</v>
      </c>
      <c r="K5" s="402">
        <v>1.0029999999999999</v>
      </c>
      <c r="L5" s="402">
        <v>1.002</v>
      </c>
      <c r="M5" s="402">
        <v>1.004</v>
      </c>
      <c r="N5" s="402">
        <v>1.0029999999999999</v>
      </c>
      <c r="O5" s="402">
        <v>1.0029999999999999</v>
      </c>
      <c r="P5" s="402">
        <v>1.002</v>
      </c>
      <c r="Q5" s="402">
        <v>1.002</v>
      </c>
      <c r="R5" s="402"/>
    </row>
    <row r="6" spans="1:18" s="229" customFormat="1">
      <c r="A6" s="213">
        <f t="shared" si="0"/>
        <v>1984</v>
      </c>
      <c r="B6" s="402" t="s">
        <v>34</v>
      </c>
      <c r="C6" s="402" t="s">
        <v>34</v>
      </c>
      <c r="D6" s="402" t="s">
        <v>34</v>
      </c>
      <c r="E6" s="402" t="s">
        <v>34</v>
      </c>
      <c r="F6" s="402" t="s">
        <v>34</v>
      </c>
      <c r="G6" s="402" t="s">
        <v>34</v>
      </c>
      <c r="H6" s="402" t="s">
        <v>34</v>
      </c>
      <c r="I6" s="402" t="s">
        <v>34</v>
      </c>
      <c r="J6" s="402">
        <v>1.0029999999999999</v>
      </c>
      <c r="K6" s="402">
        <v>1.002</v>
      </c>
      <c r="L6" s="402">
        <v>1.002</v>
      </c>
      <c r="M6" s="402">
        <v>1.002</v>
      </c>
      <c r="N6" s="402">
        <v>1.002</v>
      </c>
      <c r="O6" s="402">
        <v>1.002</v>
      </c>
      <c r="P6" s="402">
        <v>1.0009999999999999</v>
      </c>
      <c r="Q6" s="402">
        <v>1.0009999999999999</v>
      </c>
      <c r="R6" s="402"/>
    </row>
    <row r="7" spans="1:18" s="229" customFormat="1">
      <c r="A7" s="213">
        <f t="shared" si="0"/>
        <v>1985</v>
      </c>
      <c r="B7" s="402" t="s">
        <v>34</v>
      </c>
      <c r="C7" s="402" t="s">
        <v>34</v>
      </c>
      <c r="D7" s="402" t="s">
        <v>34</v>
      </c>
      <c r="E7" s="402" t="s">
        <v>34</v>
      </c>
      <c r="F7" s="402" t="s">
        <v>34</v>
      </c>
      <c r="G7" s="402" t="s">
        <v>34</v>
      </c>
      <c r="H7" s="402" t="s">
        <v>34</v>
      </c>
      <c r="I7" s="402">
        <v>1.0029999999999999</v>
      </c>
      <c r="J7" s="402">
        <v>1.002</v>
      </c>
      <c r="K7" s="402">
        <v>1.0029999999999999</v>
      </c>
      <c r="L7" s="402">
        <v>1.002</v>
      </c>
      <c r="M7" s="402">
        <v>1.002</v>
      </c>
      <c r="N7" s="402">
        <v>1.002</v>
      </c>
      <c r="O7" s="402">
        <v>1.002</v>
      </c>
      <c r="P7" s="402">
        <v>1.0009999999999999</v>
      </c>
      <c r="Q7" s="402">
        <v>1.002</v>
      </c>
      <c r="R7" s="402"/>
    </row>
    <row r="8" spans="1:18" s="171" customFormat="1">
      <c r="A8" s="213">
        <f t="shared" si="0"/>
        <v>1986</v>
      </c>
      <c r="B8" s="402" t="s">
        <v>34</v>
      </c>
      <c r="C8" s="402" t="s">
        <v>34</v>
      </c>
      <c r="D8" s="402" t="s">
        <v>34</v>
      </c>
      <c r="E8" s="402" t="s">
        <v>34</v>
      </c>
      <c r="F8" s="402" t="s">
        <v>34</v>
      </c>
      <c r="G8" s="402" t="s">
        <v>34</v>
      </c>
      <c r="H8" s="402">
        <v>1.0049999999999999</v>
      </c>
      <c r="I8" s="402">
        <v>1.004</v>
      </c>
      <c r="J8" s="402">
        <v>1.006</v>
      </c>
      <c r="K8" s="402">
        <v>1.0049999999999999</v>
      </c>
      <c r="L8" s="402">
        <v>1.004</v>
      </c>
      <c r="M8" s="402">
        <v>1.0029999999999999</v>
      </c>
      <c r="N8" s="402">
        <v>1.004</v>
      </c>
      <c r="O8" s="402">
        <v>1.0009999999999999</v>
      </c>
      <c r="P8" s="402">
        <v>1.002</v>
      </c>
      <c r="Q8" s="402" t="s">
        <v>34</v>
      </c>
      <c r="R8" s="402"/>
    </row>
    <row r="9" spans="1:18">
      <c r="A9" s="213">
        <f t="shared" si="0"/>
        <v>1987</v>
      </c>
      <c r="B9" s="402" t="s">
        <v>34</v>
      </c>
      <c r="C9" s="402" t="s">
        <v>34</v>
      </c>
      <c r="D9" s="402" t="s">
        <v>34</v>
      </c>
      <c r="E9" s="402" t="s">
        <v>34</v>
      </c>
      <c r="F9" s="402" t="s">
        <v>34</v>
      </c>
      <c r="G9" s="402">
        <v>1.004</v>
      </c>
      <c r="H9" s="402">
        <v>1.0029999999999999</v>
      </c>
      <c r="I9" s="402">
        <v>1.0029999999999999</v>
      </c>
      <c r="J9" s="402">
        <v>1.0029999999999999</v>
      </c>
      <c r="K9" s="402">
        <v>1.004</v>
      </c>
      <c r="L9" s="402">
        <v>1.002</v>
      </c>
      <c r="M9" s="402">
        <v>1.0029999999999999</v>
      </c>
      <c r="N9" s="402">
        <v>1.0029999999999999</v>
      </c>
      <c r="O9" s="402">
        <v>1.0029999999999999</v>
      </c>
      <c r="P9" s="402" t="s">
        <v>34</v>
      </c>
      <c r="Q9" s="402" t="s">
        <v>34</v>
      </c>
      <c r="R9" s="402"/>
    </row>
    <row r="10" spans="1:18">
      <c r="A10" s="213">
        <f t="shared" si="0"/>
        <v>1988</v>
      </c>
      <c r="B10" s="402" t="s">
        <v>34</v>
      </c>
      <c r="C10" s="402" t="s">
        <v>34</v>
      </c>
      <c r="D10" s="402" t="s">
        <v>34</v>
      </c>
      <c r="E10" s="402" t="s">
        <v>34</v>
      </c>
      <c r="F10" s="402">
        <v>1.004</v>
      </c>
      <c r="G10" s="402">
        <v>1.0029999999999999</v>
      </c>
      <c r="H10" s="402">
        <v>1.0029999999999999</v>
      </c>
      <c r="I10" s="402">
        <v>1.0029999999999999</v>
      </c>
      <c r="J10" s="402">
        <v>1.004</v>
      </c>
      <c r="K10" s="402">
        <v>1.0029999999999999</v>
      </c>
      <c r="L10" s="402">
        <v>1.002</v>
      </c>
      <c r="M10" s="402">
        <v>1.0029999999999999</v>
      </c>
      <c r="N10" s="402">
        <v>1.0029999999999999</v>
      </c>
      <c r="O10" s="402" t="s">
        <v>34</v>
      </c>
      <c r="P10" s="402" t="s">
        <v>34</v>
      </c>
      <c r="Q10" s="402" t="s">
        <v>34</v>
      </c>
      <c r="R10" s="402"/>
    </row>
    <row r="11" spans="1:18">
      <c r="A11" s="213">
        <f t="shared" si="0"/>
        <v>1989</v>
      </c>
      <c r="B11" s="402" t="s">
        <v>34</v>
      </c>
      <c r="C11" s="402" t="s">
        <v>34</v>
      </c>
      <c r="D11" s="402" t="s">
        <v>34</v>
      </c>
      <c r="E11" s="402">
        <v>1.0049999999999999</v>
      </c>
      <c r="F11" s="402">
        <v>1.0029999999999999</v>
      </c>
      <c r="G11" s="402">
        <v>1.0029999999999999</v>
      </c>
      <c r="H11" s="402">
        <v>1.0029999999999999</v>
      </c>
      <c r="I11" s="402">
        <v>1.004</v>
      </c>
      <c r="J11" s="402">
        <v>1.0029999999999999</v>
      </c>
      <c r="K11" s="402">
        <v>1.0049999999999999</v>
      </c>
      <c r="L11" s="402">
        <v>1.002</v>
      </c>
      <c r="M11" s="402">
        <v>1.002</v>
      </c>
      <c r="N11" s="402" t="s">
        <v>34</v>
      </c>
      <c r="O11" s="402" t="s">
        <v>34</v>
      </c>
      <c r="P11" s="402" t="s">
        <v>34</v>
      </c>
      <c r="Q11" s="402" t="s">
        <v>34</v>
      </c>
      <c r="R11" s="402"/>
    </row>
    <row r="12" spans="1:18">
      <c r="A12" s="213">
        <f t="shared" si="0"/>
        <v>1990</v>
      </c>
      <c r="B12" s="402" t="s">
        <v>34</v>
      </c>
      <c r="C12" s="402" t="s">
        <v>34</v>
      </c>
      <c r="D12" s="402">
        <v>1.004</v>
      </c>
      <c r="E12" s="402">
        <v>1.0029999999999999</v>
      </c>
      <c r="F12" s="402">
        <v>1.002</v>
      </c>
      <c r="G12" s="402">
        <v>1.0029999999999999</v>
      </c>
      <c r="H12" s="402">
        <v>1.002</v>
      </c>
      <c r="I12" s="402">
        <v>1.0029999999999999</v>
      </c>
      <c r="J12" s="402">
        <v>1.002</v>
      </c>
      <c r="K12" s="402">
        <v>1.0029999999999999</v>
      </c>
      <c r="L12" s="402">
        <v>1.0009999999999999</v>
      </c>
      <c r="M12" s="402" t="s">
        <v>34</v>
      </c>
      <c r="N12" s="402" t="s">
        <v>34</v>
      </c>
      <c r="O12" s="402" t="s">
        <v>34</v>
      </c>
      <c r="P12" s="402" t="s">
        <v>34</v>
      </c>
      <c r="Q12" s="402" t="s">
        <v>34</v>
      </c>
      <c r="R12" s="402"/>
    </row>
    <row r="13" spans="1:18">
      <c r="A13" s="213">
        <f t="shared" si="0"/>
        <v>1991</v>
      </c>
      <c r="B13" s="402" t="s">
        <v>34</v>
      </c>
      <c r="C13" s="402">
        <v>1.006</v>
      </c>
      <c r="D13" s="402">
        <v>1.0029999999999999</v>
      </c>
      <c r="E13" s="402">
        <v>1.0029999999999999</v>
      </c>
      <c r="F13" s="402">
        <v>1.0029999999999999</v>
      </c>
      <c r="G13" s="402">
        <v>1.004</v>
      </c>
      <c r="H13" s="402">
        <v>1.004</v>
      </c>
      <c r="I13" s="402">
        <v>1.0029999999999999</v>
      </c>
      <c r="J13" s="402">
        <v>1.002</v>
      </c>
      <c r="K13" s="402">
        <v>1.0029999999999999</v>
      </c>
      <c r="L13" s="402" t="s">
        <v>34</v>
      </c>
      <c r="M13" s="402" t="s">
        <v>34</v>
      </c>
      <c r="N13" s="402" t="s">
        <v>34</v>
      </c>
      <c r="O13" s="402" t="s">
        <v>34</v>
      </c>
      <c r="P13" s="402" t="s">
        <v>34</v>
      </c>
      <c r="Q13" s="402" t="s">
        <v>34</v>
      </c>
      <c r="R13" s="402"/>
    </row>
    <row r="14" spans="1:18">
      <c r="A14" s="213">
        <f t="shared" si="0"/>
        <v>1992</v>
      </c>
      <c r="B14" s="402">
        <v>1.006</v>
      </c>
      <c r="C14" s="402">
        <v>1.0049999999999999</v>
      </c>
      <c r="D14" s="402">
        <v>1.0049999999999999</v>
      </c>
      <c r="E14" s="402">
        <v>1.006</v>
      </c>
      <c r="F14" s="402">
        <v>1.004</v>
      </c>
      <c r="G14" s="402">
        <v>1.006</v>
      </c>
      <c r="H14" s="402">
        <v>1.0029999999999999</v>
      </c>
      <c r="I14" s="402">
        <v>1.0029999999999999</v>
      </c>
      <c r="J14" s="402">
        <v>1.002</v>
      </c>
      <c r="K14" s="402" t="s">
        <v>34</v>
      </c>
      <c r="L14" s="402" t="s">
        <v>34</v>
      </c>
      <c r="M14" s="402" t="s">
        <v>34</v>
      </c>
      <c r="N14" s="402" t="s">
        <v>34</v>
      </c>
      <c r="O14" s="402" t="s">
        <v>34</v>
      </c>
      <c r="P14" s="402" t="s">
        <v>34</v>
      </c>
      <c r="Q14" s="402" t="s">
        <v>34</v>
      </c>
      <c r="R14" s="402"/>
    </row>
    <row r="15" spans="1:18">
      <c r="A15" s="213">
        <f t="shared" si="0"/>
        <v>1993</v>
      </c>
      <c r="B15" s="402">
        <v>1.0069999999999999</v>
      </c>
      <c r="C15" s="402">
        <v>1.0069999999999999</v>
      </c>
      <c r="D15" s="402">
        <v>1.0069999999999999</v>
      </c>
      <c r="E15" s="402">
        <v>1.0049999999999999</v>
      </c>
      <c r="F15" s="402">
        <v>1.0089999999999999</v>
      </c>
      <c r="G15" s="402">
        <v>1.004</v>
      </c>
      <c r="H15" s="402">
        <v>1.0029999999999999</v>
      </c>
      <c r="I15" s="402">
        <v>1.002</v>
      </c>
      <c r="J15" s="402" t="s">
        <v>34</v>
      </c>
      <c r="K15" s="402" t="s">
        <v>34</v>
      </c>
      <c r="L15" s="402" t="s">
        <v>34</v>
      </c>
      <c r="M15" s="402" t="s">
        <v>34</v>
      </c>
      <c r="N15" s="402" t="s">
        <v>34</v>
      </c>
      <c r="O15" s="402" t="s">
        <v>34</v>
      </c>
      <c r="P15" s="402" t="s">
        <v>34</v>
      </c>
      <c r="Q15" s="402" t="s">
        <v>34</v>
      </c>
      <c r="R15" s="402"/>
    </row>
    <row r="16" spans="1:18">
      <c r="A16" s="213">
        <f t="shared" si="0"/>
        <v>1994</v>
      </c>
      <c r="B16" s="402">
        <v>1.0089999999999999</v>
      </c>
      <c r="C16" s="402">
        <v>1.008</v>
      </c>
      <c r="D16" s="402">
        <v>1.0049999999999999</v>
      </c>
      <c r="E16" s="402">
        <v>1.0049999999999999</v>
      </c>
      <c r="F16" s="402">
        <v>1.0049999999999999</v>
      </c>
      <c r="G16" s="402">
        <v>1.004</v>
      </c>
      <c r="H16" s="402">
        <v>1.0049999999999999</v>
      </c>
      <c r="I16" s="402" t="s">
        <v>34</v>
      </c>
      <c r="J16" s="402" t="s">
        <v>34</v>
      </c>
      <c r="K16" s="402" t="s">
        <v>34</v>
      </c>
      <c r="L16" s="402" t="s">
        <v>34</v>
      </c>
      <c r="M16" s="402" t="s">
        <v>34</v>
      </c>
      <c r="N16" s="402" t="s">
        <v>34</v>
      </c>
      <c r="O16" s="402" t="s">
        <v>34</v>
      </c>
      <c r="P16" s="402" t="s">
        <v>34</v>
      </c>
      <c r="Q16" s="402" t="s">
        <v>34</v>
      </c>
      <c r="R16" s="402"/>
    </row>
    <row r="17" spans="1:18">
      <c r="A17" s="213">
        <f t="shared" si="0"/>
        <v>1995</v>
      </c>
      <c r="B17" s="402">
        <v>1.014</v>
      </c>
      <c r="C17" s="402">
        <v>1.008</v>
      </c>
      <c r="D17" s="402">
        <v>1.01</v>
      </c>
      <c r="E17" s="402">
        <v>1.0069999999999999</v>
      </c>
      <c r="F17" s="402">
        <v>1.006</v>
      </c>
      <c r="G17" s="402">
        <v>1.004</v>
      </c>
      <c r="H17" s="402" t="s">
        <v>34</v>
      </c>
      <c r="I17" s="402" t="s">
        <v>34</v>
      </c>
      <c r="J17" s="402" t="s">
        <v>34</v>
      </c>
      <c r="K17" s="402" t="s">
        <v>34</v>
      </c>
      <c r="L17" s="402" t="s">
        <v>34</v>
      </c>
      <c r="M17" s="402" t="s">
        <v>34</v>
      </c>
      <c r="N17" s="402" t="s">
        <v>34</v>
      </c>
      <c r="O17" s="402" t="s">
        <v>34</v>
      </c>
      <c r="P17" s="402" t="s">
        <v>34</v>
      </c>
      <c r="Q17" s="402" t="s">
        <v>34</v>
      </c>
      <c r="R17" s="402"/>
    </row>
    <row r="18" spans="1:18">
      <c r="A18" s="213">
        <f t="shared" si="0"/>
        <v>1996</v>
      </c>
      <c r="B18" s="402">
        <v>1.01</v>
      </c>
      <c r="C18" s="402">
        <v>1.0089999999999999</v>
      </c>
      <c r="D18" s="402">
        <v>1.0069999999999999</v>
      </c>
      <c r="E18" s="402">
        <v>1.0049999999999999</v>
      </c>
      <c r="F18" s="402">
        <v>1.006</v>
      </c>
      <c r="G18" s="402" t="s">
        <v>34</v>
      </c>
      <c r="H18" s="402" t="s">
        <v>34</v>
      </c>
      <c r="I18" s="402" t="s">
        <v>34</v>
      </c>
      <c r="J18" s="402" t="s">
        <v>34</v>
      </c>
      <c r="K18" s="402" t="s">
        <v>34</v>
      </c>
      <c r="L18" s="402" t="s">
        <v>34</v>
      </c>
      <c r="M18" s="402" t="s">
        <v>34</v>
      </c>
      <c r="N18" s="402" t="s">
        <v>34</v>
      </c>
      <c r="O18" s="402" t="s">
        <v>34</v>
      </c>
      <c r="P18" s="402" t="s">
        <v>34</v>
      </c>
      <c r="Q18" s="402" t="s">
        <v>34</v>
      </c>
      <c r="R18" s="402"/>
    </row>
    <row r="19" spans="1:18">
      <c r="A19" s="213">
        <f t="shared" si="0"/>
        <v>1997</v>
      </c>
      <c r="B19" s="402">
        <v>1.008</v>
      </c>
      <c r="C19" s="402">
        <v>1.006</v>
      </c>
      <c r="D19" s="402">
        <v>1.0049999999999999</v>
      </c>
      <c r="E19" s="402">
        <v>1.004</v>
      </c>
      <c r="F19" s="402" t="s">
        <v>34</v>
      </c>
      <c r="G19" s="402" t="s">
        <v>34</v>
      </c>
      <c r="H19" s="402" t="s">
        <v>34</v>
      </c>
      <c r="I19" s="402" t="s">
        <v>34</v>
      </c>
      <c r="J19" s="402" t="s">
        <v>34</v>
      </c>
      <c r="K19" s="402" t="s">
        <v>34</v>
      </c>
      <c r="L19" s="402" t="s">
        <v>34</v>
      </c>
      <c r="M19" s="402" t="s">
        <v>34</v>
      </c>
      <c r="N19" s="402" t="s">
        <v>34</v>
      </c>
      <c r="O19" s="402" t="s">
        <v>34</v>
      </c>
      <c r="P19" s="402" t="s">
        <v>34</v>
      </c>
      <c r="Q19" s="402" t="s">
        <v>34</v>
      </c>
      <c r="R19" s="402"/>
    </row>
    <row r="20" spans="1:18">
      <c r="A20" s="213">
        <f t="shared" si="0"/>
        <v>1998</v>
      </c>
      <c r="B20" s="402">
        <v>1.008</v>
      </c>
      <c r="C20" s="402">
        <v>1.006</v>
      </c>
      <c r="D20" s="402">
        <v>1.006</v>
      </c>
      <c r="E20" s="402" t="s">
        <v>34</v>
      </c>
      <c r="F20" s="402" t="s">
        <v>34</v>
      </c>
      <c r="G20" s="402" t="s">
        <v>34</v>
      </c>
      <c r="H20" s="402" t="s">
        <v>34</v>
      </c>
      <c r="I20" s="402" t="s">
        <v>34</v>
      </c>
      <c r="J20" s="402" t="s">
        <v>34</v>
      </c>
      <c r="K20" s="402" t="s">
        <v>34</v>
      </c>
      <c r="L20" s="402" t="s">
        <v>34</v>
      </c>
      <c r="M20" s="402" t="s">
        <v>34</v>
      </c>
      <c r="N20" s="402" t="s">
        <v>34</v>
      </c>
      <c r="O20" s="402" t="s">
        <v>34</v>
      </c>
      <c r="P20" s="402" t="s">
        <v>34</v>
      </c>
      <c r="Q20" s="402" t="s">
        <v>34</v>
      </c>
      <c r="R20" s="402"/>
    </row>
    <row r="21" spans="1:18">
      <c r="A21" s="213">
        <f t="shared" si="0"/>
        <v>1999</v>
      </c>
      <c r="B21" s="402">
        <v>1.006</v>
      </c>
      <c r="C21" s="402">
        <v>1.004</v>
      </c>
      <c r="D21" s="402" t="s">
        <v>34</v>
      </c>
      <c r="E21" s="402" t="s">
        <v>34</v>
      </c>
      <c r="F21" s="402" t="s">
        <v>34</v>
      </c>
      <c r="G21" s="402" t="s">
        <v>34</v>
      </c>
      <c r="H21" s="402" t="s">
        <v>34</v>
      </c>
      <c r="I21" s="402" t="s">
        <v>34</v>
      </c>
      <c r="J21" s="402" t="s">
        <v>34</v>
      </c>
      <c r="K21" s="402" t="s">
        <v>34</v>
      </c>
      <c r="L21" s="402" t="s">
        <v>34</v>
      </c>
      <c r="M21" s="402" t="s">
        <v>34</v>
      </c>
      <c r="N21" s="402" t="s">
        <v>34</v>
      </c>
      <c r="O21" s="402" t="s">
        <v>34</v>
      </c>
      <c r="P21" s="402" t="s">
        <v>34</v>
      </c>
      <c r="Q21" s="402" t="s">
        <v>34</v>
      </c>
      <c r="R21" s="402"/>
    </row>
    <row r="22" spans="1:18">
      <c r="A22" s="213">
        <f>'Exhibit 2.6.1'!$A$6</f>
        <v>2000</v>
      </c>
      <c r="B22" s="402">
        <v>1.004</v>
      </c>
      <c r="C22" s="402" t="s">
        <v>34</v>
      </c>
      <c r="D22" s="402" t="s">
        <v>34</v>
      </c>
      <c r="E22" s="402" t="s">
        <v>34</v>
      </c>
      <c r="F22" s="402" t="s">
        <v>34</v>
      </c>
      <c r="G22" s="402" t="s">
        <v>34</v>
      </c>
      <c r="H22" s="402" t="s">
        <v>34</v>
      </c>
      <c r="I22" s="402" t="s">
        <v>34</v>
      </c>
      <c r="J22" s="402" t="s">
        <v>34</v>
      </c>
      <c r="K22" s="402" t="s">
        <v>34</v>
      </c>
      <c r="L22" s="402" t="s">
        <v>34</v>
      </c>
      <c r="M22" s="402" t="s">
        <v>34</v>
      </c>
      <c r="N22" s="402" t="s">
        <v>34</v>
      </c>
      <c r="O22" s="402" t="s">
        <v>34</v>
      </c>
      <c r="P22" s="402" t="s">
        <v>34</v>
      </c>
      <c r="Q22" s="402" t="s">
        <v>34</v>
      </c>
      <c r="R22" s="402"/>
    </row>
    <row r="23" spans="1:18">
      <c r="A23" s="213"/>
      <c r="B23" s="215"/>
      <c r="C23" s="215"/>
      <c r="D23" s="215"/>
      <c r="E23" s="215"/>
      <c r="F23" s="215"/>
      <c r="G23" s="215"/>
      <c r="H23" s="215"/>
      <c r="I23" s="215"/>
      <c r="J23" s="215"/>
      <c r="K23" s="215"/>
      <c r="L23" s="215"/>
      <c r="M23" s="215"/>
      <c r="N23" s="215"/>
      <c r="O23" s="215"/>
      <c r="P23" s="215"/>
      <c r="Q23" s="215"/>
      <c r="R23" s="215"/>
    </row>
    <row r="24" spans="1:18">
      <c r="A24" s="13"/>
      <c r="B24" s="215"/>
      <c r="C24" s="215"/>
      <c r="D24" s="215"/>
      <c r="E24" s="215"/>
      <c r="F24" s="215"/>
      <c r="G24" s="215"/>
      <c r="H24" s="215"/>
      <c r="I24" s="215"/>
      <c r="J24" s="215"/>
      <c r="K24" s="215"/>
      <c r="L24" s="215"/>
      <c r="M24" s="215"/>
      <c r="N24" s="215"/>
      <c r="O24" s="215"/>
      <c r="P24" s="215"/>
      <c r="Q24" s="215"/>
      <c r="R24" s="215"/>
    </row>
    <row r="25" spans="1:18" s="178" customFormat="1">
      <c r="A25" s="213" t="s">
        <v>370</v>
      </c>
      <c r="B25" s="403">
        <f>AVERAGE(B20:B22)</f>
        <v>1.006</v>
      </c>
      <c r="C25" s="403">
        <f>AVERAGE(C19:C21)</f>
        <v>1.0053333333333334</v>
      </c>
      <c r="D25" s="403">
        <f>AVERAGE(D18:D20)</f>
        <v>1.006</v>
      </c>
      <c r="E25" s="403">
        <f>AVERAGE(E17:E19)</f>
        <v>1.0053333333333332</v>
      </c>
      <c r="F25" s="403">
        <f>AVERAGE(F16:F18)</f>
        <v>1.0056666666666667</v>
      </c>
      <c r="G25" s="403">
        <f>AVERAGE(G15:G17)</f>
        <v>1.004</v>
      </c>
      <c r="H25" s="403">
        <f>AVERAGE(H14:H16)</f>
        <v>1.0036666666666665</v>
      </c>
      <c r="I25" s="403">
        <f>AVERAGE(I13:I15)</f>
        <v>1.0026666666666666</v>
      </c>
      <c r="J25" s="403">
        <f>AVERAGE(J12:J14)</f>
        <v>1.002</v>
      </c>
      <c r="K25" s="403">
        <f>AVERAGE(K11:K13)</f>
        <v>1.0036666666666667</v>
      </c>
      <c r="L25" s="403">
        <f>AVERAGE(L10:L12)</f>
        <v>1.0016666666666667</v>
      </c>
      <c r="M25" s="403">
        <f>AVERAGE(M9:M11)</f>
        <v>1.0026666666666666</v>
      </c>
      <c r="N25" s="403">
        <f>AVERAGE(N8:N10)</f>
        <v>1.0033333333333332</v>
      </c>
      <c r="O25" s="403">
        <f>AVERAGE(O7:O9)</f>
        <v>1.002</v>
      </c>
      <c r="P25" s="403">
        <f>AVERAGE(P6:P8)</f>
        <v>1.0013333333333332</v>
      </c>
      <c r="Q25" s="403">
        <f>AVERAGE(Q5:Q7)</f>
        <v>1.0016666666666667</v>
      </c>
      <c r="R25" s="402">
        <v>1.073</v>
      </c>
    </row>
    <row r="26" spans="1:18">
      <c r="A26" s="213" t="s">
        <v>371</v>
      </c>
      <c r="B26" s="8">
        <f>B25</f>
        <v>1.006</v>
      </c>
      <c r="C26" s="8">
        <f>C25</f>
        <v>1.0053333333333334</v>
      </c>
      <c r="D26" s="8">
        <f>D25</f>
        <v>1.006</v>
      </c>
      <c r="E26" s="500">
        <f ca="1">'Exhibits 2.5.9 - 2.5.12'!C211</f>
        <v>1.0040592831561723</v>
      </c>
      <c r="F26" s="500">
        <f ca="1">'Exhibits 2.5.9 - 2.5.12'!D211</f>
        <v>1.0043645685501552</v>
      </c>
      <c r="G26" s="500">
        <f ca="1">'Exhibits 2.5.9 - 2.5.12'!E211</f>
        <v>1.0031366939658528</v>
      </c>
      <c r="H26" s="500">
        <f ca="1">'Exhibits 2.5.9 - 2.5.12'!F211</f>
        <v>1.0029459480653451</v>
      </c>
      <c r="I26" s="500">
        <f ca="1">'Exhibits 2.5.9 - 2.5.12'!G211</f>
        <v>1.0022274611009006</v>
      </c>
      <c r="J26" s="500">
        <f ca="1">'Exhibits 2.5.9 - 2.5.12'!H211</f>
        <v>1.0017288215401119</v>
      </c>
      <c r="K26" s="500">
        <f ca="1">'Exhibits 2.5.9 - 2.5.12'!I211</f>
        <v>1.0032761768994205</v>
      </c>
      <c r="L26" s="500">
        <f ca="1">'Exhibits 2.5.9 - 2.5.12'!J211</f>
        <v>1.0014784442465154</v>
      </c>
      <c r="M26" s="500">
        <f ca="1">'Exhibits 2.5.9 - 2.5.12'!K211</f>
        <v>1.0023926435564687</v>
      </c>
      <c r="N26" s="402">
        <v>1.0034000000000001</v>
      </c>
      <c r="O26" s="402">
        <v>1.0024</v>
      </c>
      <c r="P26" s="402">
        <v>1.0014000000000001</v>
      </c>
      <c r="Q26" s="402">
        <v>1.0014000000000001</v>
      </c>
      <c r="R26" s="215">
        <f>R27</f>
        <v>1.0483</v>
      </c>
    </row>
    <row r="27" spans="1:18">
      <c r="A27" s="213" t="s">
        <v>21</v>
      </c>
      <c r="B27" s="403">
        <f t="shared" ref="B27:Q27" ca="1" si="1">B26*C27</f>
        <v>1.1036383600115685</v>
      </c>
      <c r="C27" s="403">
        <f t="shared" ca="1" si="1"/>
        <v>1.0970560238683582</v>
      </c>
      <c r="D27" s="403">
        <f t="shared" ca="1" si="1"/>
        <v>1.0912360980122926</v>
      </c>
      <c r="E27" s="403">
        <f t="shared" ca="1" si="1"/>
        <v>1.0847277316225572</v>
      </c>
      <c r="F27" s="403">
        <f t="shared" ca="1" si="1"/>
        <v>1.0803423162552819</v>
      </c>
      <c r="G27" s="403">
        <f t="shared" ca="1" si="1"/>
        <v>1.0756475786624013</v>
      </c>
      <c r="H27" s="403">
        <f t="shared" ca="1" si="1"/>
        <v>1.072284151434916</v>
      </c>
      <c r="I27" s="403">
        <f t="shared" ca="1" si="1"/>
        <v>1.0691345366151808</v>
      </c>
      <c r="J27" s="403">
        <f t="shared" ca="1" si="1"/>
        <v>1.066758373833407</v>
      </c>
      <c r="K27" s="403">
        <f t="shared" ca="1" si="1"/>
        <v>1.0649173218289907</v>
      </c>
      <c r="L27" s="403">
        <f t="shared" ca="1" si="1"/>
        <v>1.0614398570890713</v>
      </c>
      <c r="M27" s="403">
        <f t="shared" ca="1" si="1"/>
        <v>1.0598728941067415</v>
      </c>
      <c r="N27" s="403">
        <f t="shared" si="1"/>
        <v>1.057343049073399</v>
      </c>
      <c r="O27" s="403">
        <f t="shared" si="1"/>
        <v>1.0537602641752033</v>
      </c>
      <c r="P27" s="403">
        <f t="shared" si="1"/>
        <v>1.0512372946680002</v>
      </c>
      <c r="Q27" s="403">
        <f t="shared" si="1"/>
        <v>1.0497676200000001</v>
      </c>
      <c r="R27" s="402">
        <v>1.0483</v>
      </c>
    </row>
    <row r="28" spans="1:18">
      <c r="A28" s="343"/>
      <c r="B28" s="219"/>
      <c r="C28" s="219"/>
      <c r="D28" s="219"/>
      <c r="E28" s="219"/>
      <c r="F28" s="219"/>
      <c r="G28" s="219"/>
      <c r="H28" s="219"/>
      <c r="I28" s="219"/>
      <c r="J28" s="219"/>
      <c r="K28" s="219"/>
      <c r="L28" s="219"/>
      <c r="M28" s="219"/>
      <c r="N28" s="219"/>
      <c r="O28" s="219"/>
      <c r="P28" s="219"/>
      <c r="Q28" s="219"/>
      <c r="R28" s="219"/>
    </row>
    <row r="29" spans="1:18" ht="12.75" customHeight="1">
      <c r="A29" s="3" t="s">
        <v>42</v>
      </c>
      <c r="B29" s="224" t="s">
        <v>492</v>
      </c>
      <c r="C29" s="224"/>
      <c r="D29" s="224"/>
      <c r="E29" s="224"/>
      <c r="F29" s="224"/>
      <c r="G29" s="224"/>
      <c r="H29" s="224"/>
      <c r="I29" s="224"/>
      <c r="J29" s="224"/>
      <c r="K29" s="224"/>
      <c r="L29" s="224"/>
      <c r="M29" s="224"/>
      <c r="N29" s="224"/>
      <c r="O29" s="224"/>
      <c r="P29" s="224"/>
      <c r="Q29" s="224"/>
      <c r="R29" s="224"/>
    </row>
    <row r="30" spans="1:18" ht="12.75" customHeight="1">
      <c r="A30" s="18" t="s">
        <v>319</v>
      </c>
      <c r="B30" s="224" t="s">
        <v>493</v>
      </c>
      <c r="C30" s="346"/>
      <c r="D30" s="346"/>
      <c r="E30" s="346"/>
      <c r="F30" s="346"/>
      <c r="G30" s="346"/>
      <c r="H30" s="346"/>
      <c r="I30" s="346"/>
      <c r="J30" s="346"/>
      <c r="K30" s="346"/>
      <c r="L30" s="346"/>
      <c r="M30" s="346"/>
      <c r="N30" s="346"/>
      <c r="O30" s="386"/>
      <c r="P30" s="346"/>
      <c r="Q30" s="346"/>
      <c r="R30" s="346"/>
    </row>
    <row r="31" spans="1:18">
      <c r="A31" s="18"/>
      <c r="B31" s="224" t="s">
        <v>494</v>
      </c>
      <c r="C31" s="341"/>
      <c r="D31" s="341"/>
      <c r="E31" s="341"/>
      <c r="F31" s="341"/>
      <c r="G31" s="341"/>
      <c r="H31" s="341"/>
      <c r="I31" s="341"/>
      <c r="J31" s="341"/>
      <c r="K31" s="341"/>
      <c r="L31" s="341"/>
      <c r="M31" s="341"/>
      <c r="N31" s="341"/>
      <c r="O31" s="387"/>
      <c r="P31" s="341"/>
      <c r="Q31" s="341"/>
      <c r="R31" s="341"/>
    </row>
  </sheetData>
  <pageMargins left="0.7" right="0.7" top="0.75" bottom="0.75" header="0.3" footer="0.3"/>
  <pageSetup scale="77" orientation="landscape" blackAndWhite="1" horizontalDpi="1200" verticalDpi="1200" r:id="rId1"/>
  <headerFooter scaleWithDoc="0"/>
  <ignoredErrors>
    <ignoredError sqref="B25:P2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L350"/>
  <sheetViews>
    <sheetView zoomScaleNormal="100" zoomScaleSheetLayoutView="85" workbookViewId="0"/>
  </sheetViews>
  <sheetFormatPr defaultColWidth="8.81640625" defaultRowHeight="14.5"/>
  <cols>
    <col min="1" max="1" width="8.81640625" style="110" customWidth="1"/>
    <col min="2" max="2" width="7.81640625" style="110" customWidth="1"/>
    <col min="3" max="3" width="15.81640625" style="110" bestFit="1" customWidth="1"/>
    <col min="4" max="11" width="10" style="110" customWidth="1"/>
    <col min="12" max="12" width="12.81640625" style="110" customWidth="1"/>
    <col min="13" max="16384" width="8.81640625" style="110"/>
  </cols>
  <sheetData>
    <row r="1" spans="1:12" ht="45" customHeight="1">
      <c r="A1" s="203"/>
      <c r="B1" s="203"/>
      <c r="L1" s="46" t="s">
        <v>356</v>
      </c>
    </row>
    <row r="2" spans="1:12" s="92" customFormat="1" ht="13">
      <c r="A2" s="122" t="s">
        <v>35</v>
      </c>
      <c r="B2" s="122"/>
      <c r="C2" s="122"/>
      <c r="D2" s="122"/>
      <c r="E2" s="122"/>
      <c r="F2" s="122"/>
      <c r="G2" s="122"/>
      <c r="H2" s="122"/>
      <c r="I2" s="122"/>
      <c r="J2" s="122"/>
      <c r="K2" s="122"/>
      <c r="L2" s="122"/>
    </row>
    <row r="3" spans="1:12" s="92" customFormat="1" ht="13">
      <c r="A3" s="122" t="s">
        <v>240</v>
      </c>
      <c r="B3" s="122"/>
      <c r="C3" s="122"/>
      <c r="D3" s="122"/>
      <c r="E3" s="122"/>
      <c r="F3" s="122"/>
      <c r="G3" s="122"/>
      <c r="H3" s="122"/>
      <c r="I3" s="122"/>
      <c r="J3" s="122"/>
      <c r="K3" s="122"/>
      <c r="L3" s="122"/>
    </row>
    <row r="4" spans="1:12" s="92" customFormat="1" ht="13">
      <c r="A4" s="122" t="s">
        <v>241</v>
      </c>
      <c r="B4" s="122"/>
      <c r="C4" s="122"/>
      <c r="D4" s="122"/>
      <c r="E4" s="122"/>
      <c r="F4" s="122"/>
      <c r="G4" s="122"/>
      <c r="H4" s="122"/>
      <c r="I4" s="122"/>
      <c r="J4" s="122"/>
      <c r="K4" s="122"/>
      <c r="L4" s="122"/>
    </row>
    <row r="5" spans="1:12" s="92" customFormat="1" ht="13">
      <c r="A5" s="248"/>
      <c r="B5" s="248"/>
      <c r="C5" s="248"/>
      <c r="D5" s="248"/>
      <c r="E5" s="248"/>
      <c r="F5" s="248"/>
      <c r="G5" s="248"/>
      <c r="H5" s="248"/>
      <c r="I5" s="248"/>
      <c r="J5" s="248"/>
      <c r="K5" s="248"/>
      <c r="L5" s="248"/>
    </row>
    <row r="6" spans="1:12" s="92" customFormat="1" ht="12.5">
      <c r="A6" s="118"/>
      <c r="B6" s="118" t="s">
        <v>242</v>
      </c>
      <c r="C6" s="118"/>
      <c r="D6" s="118"/>
      <c r="E6" s="118"/>
      <c r="F6" s="118"/>
      <c r="G6" s="118"/>
      <c r="H6" s="118"/>
      <c r="I6" s="118"/>
      <c r="J6" s="118"/>
      <c r="K6" s="117"/>
      <c r="L6" s="218"/>
    </row>
    <row r="7" spans="1:12" s="92" customFormat="1" ht="12.5">
      <c r="A7" s="218"/>
      <c r="B7" s="218"/>
      <c r="C7" s="218"/>
      <c r="D7" s="218"/>
      <c r="E7" s="218"/>
      <c r="F7" s="218"/>
      <c r="G7" s="218"/>
      <c r="H7" s="218"/>
      <c r="I7" s="218"/>
      <c r="J7" s="218"/>
      <c r="K7" s="218"/>
      <c r="L7" s="218"/>
    </row>
    <row r="8" spans="1:12" s="92" customFormat="1" ht="12.5">
      <c r="A8" s="218"/>
      <c r="B8" s="218"/>
      <c r="C8" s="31" t="s">
        <v>192</v>
      </c>
      <c r="D8" s="509" t="s">
        <v>287</v>
      </c>
      <c r="E8" s="509"/>
      <c r="F8" s="509"/>
      <c r="G8" s="509"/>
      <c r="H8" s="509"/>
      <c r="I8" s="509"/>
      <c r="J8" s="509"/>
      <c r="K8" s="250"/>
      <c r="L8" s="250"/>
    </row>
    <row r="9" spans="1:12" s="92" customFormat="1" ht="12.5">
      <c r="A9" s="218"/>
      <c r="B9" s="218"/>
      <c r="C9" s="33" t="s">
        <v>8</v>
      </c>
      <c r="D9" s="70">
        <f>'Exhibits 2.5.3 - 2.5.8'!D10</f>
        <v>12</v>
      </c>
      <c r="E9" s="70">
        <f>'Exhibits 2.5.3 - 2.5.8'!E10</f>
        <v>24</v>
      </c>
      <c r="F9" s="70">
        <f>'Exhibits 2.5.3 - 2.5.8'!F10</f>
        <v>36</v>
      </c>
      <c r="G9" s="70">
        <f>'Exhibits 2.5.3 - 2.5.8'!G10</f>
        <v>48</v>
      </c>
      <c r="H9" s="70">
        <f>'Exhibits 2.5.3 - 2.5.8'!H10</f>
        <v>60</v>
      </c>
      <c r="I9" s="70">
        <f>'Exhibits 2.5.3 - 2.5.8'!I10</f>
        <v>72</v>
      </c>
      <c r="J9" s="70">
        <f>'Exhibits 2.5.3 - 2.5.8'!J10</f>
        <v>84</v>
      </c>
      <c r="K9" s="70"/>
      <c r="L9" s="33"/>
    </row>
    <row r="10" spans="1:12" s="92" customFormat="1" ht="4.5" customHeight="1">
      <c r="A10" s="218"/>
      <c r="B10" s="218"/>
      <c r="C10" s="218"/>
      <c r="D10" s="218"/>
      <c r="E10" s="218"/>
      <c r="F10" s="218"/>
      <c r="G10" s="218"/>
      <c r="H10" s="218"/>
      <c r="I10" s="218"/>
      <c r="J10" s="218"/>
      <c r="K10" s="218"/>
      <c r="L10" s="218"/>
    </row>
    <row r="11" spans="1:12" s="92" customFormat="1" ht="12.5">
      <c r="A11" s="218"/>
      <c r="B11" s="218"/>
      <c r="C11" s="31">
        <f>'Exhibits 2.5.3 - 2.5.8'!C12</f>
        <v>2013</v>
      </c>
      <c r="D11" s="419"/>
      <c r="E11" s="419"/>
      <c r="F11" s="419"/>
      <c r="G11" s="419"/>
      <c r="H11" s="419"/>
      <c r="I11" s="419"/>
      <c r="J11" s="419">
        <v>133992.59091576166</v>
      </c>
      <c r="K11" s="125"/>
      <c r="L11" s="218"/>
    </row>
    <row r="12" spans="1:12" s="92" customFormat="1" ht="12.5">
      <c r="A12" s="218"/>
      <c r="B12" s="218"/>
      <c r="C12" s="31">
        <f>'Exhibits 2.5.3 - 2.5.8'!C13</f>
        <v>2014</v>
      </c>
      <c r="D12" s="419"/>
      <c r="E12" s="419"/>
      <c r="F12" s="419"/>
      <c r="G12" s="419"/>
      <c r="H12" s="419"/>
      <c r="I12" s="419">
        <v>139835.33577724046</v>
      </c>
      <c r="J12" s="419">
        <v>139876</v>
      </c>
      <c r="K12" s="125"/>
      <c r="L12" s="218"/>
    </row>
    <row r="13" spans="1:12" s="92" customFormat="1" ht="12.5">
      <c r="A13" s="218"/>
      <c r="B13" s="218"/>
      <c r="C13" s="31">
        <f>'Exhibits 2.5.3 - 2.5.8'!C14</f>
        <v>2015</v>
      </c>
      <c r="D13" s="419"/>
      <c r="E13" s="419"/>
      <c r="F13" s="419"/>
      <c r="G13" s="419"/>
      <c r="H13" s="419">
        <v>144656.13251899136</v>
      </c>
      <c r="I13" s="419">
        <v>145012</v>
      </c>
      <c r="J13" s="419">
        <v>145094</v>
      </c>
      <c r="K13" s="125"/>
      <c r="L13" s="218"/>
    </row>
    <row r="14" spans="1:12" s="92" customFormat="1" ht="12.5">
      <c r="A14" s="218"/>
      <c r="B14" s="218"/>
      <c r="C14" s="31">
        <f>'Exhibits 2.5.3 - 2.5.8'!C15</f>
        <v>2016</v>
      </c>
      <c r="D14" s="419"/>
      <c r="E14" s="419"/>
      <c r="F14" s="419"/>
      <c r="G14" s="419">
        <v>147699</v>
      </c>
      <c r="H14" s="419">
        <v>148146</v>
      </c>
      <c r="I14" s="419">
        <v>148290</v>
      </c>
      <c r="J14" s="419">
        <v>148304</v>
      </c>
      <c r="K14" s="125"/>
      <c r="L14" s="218"/>
    </row>
    <row r="15" spans="1:12" s="92" customFormat="1" ht="12.5">
      <c r="A15" s="218"/>
      <c r="B15" s="218"/>
      <c r="C15" s="31">
        <f>'Exhibits 2.5.3 - 2.5.8'!C16</f>
        <v>2017</v>
      </c>
      <c r="D15" s="419"/>
      <c r="E15" s="419"/>
      <c r="F15" s="419">
        <v>147278.00000000003</v>
      </c>
      <c r="G15" s="419">
        <v>148369</v>
      </c>
      <c r="H15" s="419">
        <v>148769</v>
      </c>
      <c r="I15" s="419">
        <v>148903</v>
      </c>
      <c r="J15" s="419"/>
      <c r="K15" s="125"/>
      <c r="L15" s="218"/>
    </row>
    <row r="16" spans="1:12" s="92" customFormat="1" ht="12.5">
      <c r="A16" s="218"/>
      <c r="B16" s="218"/>
      <c r="C16" s="31">
        <f>'Exhibits 2.5.3 - 2.5.8'!C17</f>
        <v>2018</v>
      </c>
      <c r="D16" s="419"/>
      <c r="E16" s="419">
        <v>146888</v>
      </c>
      <c r="F16" s="419">
        <v>150343</v>
      </c>
      <c r="G16" s="419">
        <v>151222</v>
      </c>
      <c r="H16" s="419">
        <v>151539</v>
      </c>
      <c r="I16" s="419"/>
      <c r="J16" s="419"/>
      <c r="K16" s="125"/>
      <c r="L16" s="218"/>
    </row>
    <row r="17" spans="1:12" s="92" customFormat="1" ht="12.5">
      <c r="A17" s="218"/>
      <c r="B17" s="218"/>
      <c r="C17" s="31">
        <f>'Exhibits 2.5.3 - 2.5.8'!C18</f>
        <v>2019</v>
      </c>
      <c r="D17" s="419">
        <v>122039.00000000003</v>
      </c>
      <c r="E17" s="419">
        <v>149149.00000000003</v>
      </c>
      <c r="F17" s="419">
        <v>153213.00000000003</v>
      </c>
      <c r="G17" s="419">
        <v>154240</v>
      </c>
      <c r="H17" s="419"/>
      <c r="I17" s="419"/>
      <c r="J17" s="419"/>
      <c r="K17" s="125"/>
      <c r="L17" s="218"/>
    </row>
    <row r="18" spans="1:12" s="92" customFormat="1" ht="12.5">
      <c r="A18" s="218"/>
      <c r="B18" s="218"/>
      <c r="C18" s="31">
        <f>'Exhibits 2.5.3 - 2.5.8'!C19</f>
        <v>2020</v>
      </c>
      <c r="D18" s="419">
        <v>106671</v>
      </c>
      <c r="E18" s="419">
        <v>130684.00000000001</v>
      </c>
      <c r="F18" s="419">
        <v>133906</v>
      </c>
      <c r="G18" s="419"/>
      <c r="H18" s="419"/>
      <c r="I18" s="419"/>
      <c r="J18" s="419"/>
      <c r="K18" s="125"/>
      <c r="L18" s="218"/>
    </row>
    <row r="19" spans="1:12" s="92" customFormat="1" ht="12.5">
      <c r="A19" s="218"/>
      <c r="B19" s="218"/>
      <c r="C19" s="31">
        <f>'Exhibits 2.5.3 - 2.5.8'!C20</f>
        <v>2021</v>
      </c>
      <c r="D19" s="419">
        <v>117831</v>
      </c>
      <c r="E19" s="419">
        <v>144410</v>
      </c>
      <c r="F19" s="419"/>
      <c r="G19" s="419"/>
      <c r="H19" s="419"/>
      <c r="I19" s="419"/>
      <c r="J19" s="419"/>
      <c r="K19" s="125"/>
      <c r="L19" s="218"/>
    </row>
    <row r="20" spans="1:12" s="92" customFormat="1" ht="12.5">
      <c r="A20" s="218"/>
      <c r="B20" s="218"/>
      <c r="C20" s="31">
        <f>'Exhibits 2.5.3 - 2.5.8'!C21</f>
        <v>2022</v>
      </c>
      <c r="D20" s="419">
        <v>123950</v>
      </c>
      <c r="E20" s="419"/>
      <c r="F20" s="419"/>
      <c r="G20" s="419"/>
      <c r="H20" s="419"/>
      <c r="I20" s="419"/>
      <c r="J20" s="419"/>
      <c r="K20" s="125"/>
      <c r="L20" s="218"/>
    </row>
    <row r="21" spans="1:12" s="92" customFormat="1" ht="12.5">
      <c r="A21" s="218"/>
      <c r="B21" s="218"/>
      <c r="C21" s="31"/>
      <c r="D21" s="125"/>
      <c r="E21" s="125"/>
      <c r="F21" s="125"/>
      <c r="G21" s="125"/>
      <c r="H21" s="125"/>
      <c r="I21" s="125"/>
      <c r="J21" s="125"/>
      <c r="K21" s="125"/>
      <c r="L21" s="218"/>
    </row>
    <row r="22" spans="1:12" s="92" customFormat="1" ht="12.5">
      <c r="A22" s="118"/>
      <c r="B22" s="118" t="s">
        <v>243</v>
      </c>
      <c r="C22" s="118"/>
      <c r="D22" s="118"/>
      <c r="E22" s="118"/>
      <c r="F22" s="118"/>
      <c r="G22" s="118"/>
      <c r="H22" s="118"/>
      <c r="I22" s="118"/>
      <c r="J22" s="118"/>
      <c r="K22" s="117"/>
      <c r="L22" s="218"/>
    </row>
    <row r="23" spans="1:12" s="92" customFormat="1" ht="12.5">
      <c r="A23" s="123"/>
      <c r="B23" s="123"/>
      <c r="C23" s="50"/>
      <c r="D23" s="50"/>
      <c r="E23" s="50"/>
      <c r="F23" s="50"/>
      <c r="G23" s="50"/>
      <c r="H23" s="50"/>
      <c r="I23" s="50"/>
      <c r="J23" s="50"/>
      <c r="K23" s="50"/>
      <c r="L23" s="50"/>
    </row>
    <row r="24" spans="1:12" s="92" customFormat="1" ht="12.5">
      <c r="A24" s="218"/>
      <c r="B24" s="218"/>
      <c r="C24" s="31" t="s">
        <v>54</v>
      </c>
      <c r="D24" s="509" t="s">
        <v>288</v>
      </c>
      <c r="E24" s="509"/>
      <c r="F24" s="509"/>
      <c r="G24" s="509"/>
      <c r="H24" s="509"/>
      <c r="I24" s="509"/>
      <c r="J24" s="509"/>
      <c r="K24" s="250"/>
      <c r="L24" s="266"/>
    </row>
    <row r="25" spans="1:12" s="92" customFormat="1" ht="13">
      <c r="A25" s="218"/>
      <c r="B25" s="218"/>
      <c r="C25" s="33" t="s">
        <v>8</v>
      </c>
      <c r="D25" s="70" t="str">
        <f t="shared" ref="D25:I25" si="0">+D9&amp;"-"&amp;E9</f>
        <v>12-24</v>
      </c>
      <c r="E25" s="70" t="str">
        <f t="shared" si="0"/>
        <v>24-36</v>
      </c>
      <c r="F25" s="70" t="str">
        <f t="shared" si="0"/>
        <v>36-48</v>
      </c>
      <c r="G25" s="70" t="str">
        <f t="shared" si="0"/>
        <v>48-60</v>
      </c>
      <c r="H25" s="70" t="str">
        <f t="shared" si="0"/>
        <v>60-72</v>
      </c>
      <c r="I25" s="70" t="str">
        <f t="shared" si="0"/>
        <v>72-84</v>
      </c>
      <c r="J25" s="70" t="str">
        <f>RIGHT(I25,2)&amp;"-Ult"</f>
        <v>84-Ult</v>
      </c>
      <c r="K25" s="70"/>
      <c r="L25" s="267"/>
    </row>
    <row r="26" spans="1:12" s="92" customFormat="1" ht="4.5" customHeight="1">
      <c r="A26" s="218"/>
      <c r="B26" s="218"/>
      <c r="C26" s="218"/>
      <c r="D26" s="218"/>
      <c r="E26" s="218"/>
      <c r="F26" s="218"/>
      <c r="G26" s="218"/>
      <c r="H26" s="218"/>
      <c r="I26" s="218"/>
      <c r="J26" s="218"/>
      <c r="K26" s="218"/>
      <c r="L26" s="218"/>
    </row>
    <row r="27" spans="1:12" s="92" customFormat="1" ht="12.5">
      <c r="A27" s="218"/>
      <c r="B27" s="218"/>
      <c r="C27" s="31">
        <f t="shared" ref="C27:C34" si="1">+C12</f>
        <v>2014</v>
      </c>
      <c r="D27" s="44"/>
      <c r="E27" s="44"/>
      <c r="F27" s="44"/>
      <c r="G27" s="44"/>
      <c r="H27" s="44"/>
      <c r="I27" s="425">
        <f t="shared" ref="I27" si="2">J12/I12</f>
        <v>1.0002908007660118</v>
      </c>
      <c r="J27" s="44"/>
      <c r="K27" s="44"/>
      <c r="L27" s="44"/>
    </row>
    <row r="28" spans="1:12" s="92" customFormat="1" ht="12.5">
      <c r="A28" s="218"/>
      <c r="B28" s="218"/>
      <c r="C28" s="31">
        <f t="shared" si="1"/>
        <v>2015</v>
      </c>
      <c r="D28" s="44"/>
      <c r="E28" s="44"/>
      <c r="F28" s="44"/>
      <c r="G28" s="44"/>
      <c r="H28" s="425">
        <f t="shared" ref="H28:I28" si="3">I13/H13</f>
        <v>1.002460092598991</v>
      </c>
      <c r="I28" s="425">
        <f t="shared" si="3"/>
        <v>1.0005654704438254</v>
      </c>
      <c r="J28" s="44"/>
      <c r="K28" s="44"/>
      <c r="L28" s="44"/>
    </row>
    <row r="29" spans="1:12" s="92" customFormat="1" ht="12.5">
      <c r="A29" s="218"/>
      <c r="B29" s="218"/>
      <c r="C29" s="31">
        <f t="shared" si="1"/>
        <v>2016</v>
      </c>
      <c r="D29" s="44"/>
      <c r="E29" s="44"/>
      <c r="F29" s="44"/>
      <c r="G29" s="425">
        <f t="shared" ref="G29:H29" si="4">H14/G14</f>
        <v>1.0030264253651007</v>
      </c>
      <c r="H29" s="425">
        <f t="shared" si="4"/>
        <v>1.0009720140942044</v>
      </c>
      <c r="I29" s="425">
        <f>J14/I14</f>
        <v>1.0000944096028053</v>
      </c>
      <c r="J29" s="44"/>
      <c r="K29" s="44"/>
      <c r="L29" s="44"/>
    </row>
    <row r="30" spans="1:12" s="92" customFormat="1" ht="12.5">
      <c r="A30" s="218"/>
      <c r="B30" s="218"/>
      <c r="C30" s="31">
        <f t="shared" si="1"/>
        <v>2017</v>
      </c>
      <c r="D30" s="44"/>
      <c r="E30" s="44"/>
      <c r="F30" s="425">
        <f t="shared" ref="F30:G30" si="5">G15/F15</f>
        <v>1.0074077594752779</v>
      </c>
      <c r="G30" s="425">
        <f t="shared" si="5"/>
        <v>1.0026959809663745</v>
      </c>
      <c r="H30" s="425">
        <f>I15/H15</f>
        <v>1.0009007252855098</v>
      </c>
      <c r="I30" s="44"/>
      <c r="J30" s="44"/>
      <c r="K30" s="44"/>
      <c r="L30" s="44"/>
    </row>
    <row r="31" spans="1:12" s="92" customFormat="1" ht="12.5">
      <c r="A31" s="218"/>
      <c r="B31" s="218"/>
      <c r="C31" s="31">
        <f t="shared" si="1"/>
        <v>2018</v>
      </c>
      <c r="D31" s="44"/>
      <c r="E31" s="425">
        <f t="shared" ref="D31:E33" si="6">F16/E16</f>
        <v>1.0235213223680628</v>
      </c>
      <c r="F31" s="425">
        <f t="shared" ref="F31" si="7">G16/F16</f>
        <v>1.0058466307044558</v>
      </c>
      <c r="G31" s="425">
        <f>H16/G16</f>
        <v>1.0020962558357911</v>
      </c>
      <c r="H31" s="44"/>
      <c r="I31" s="44"/>
      <c r="J31" s="44"/>
      <c r="K31" s="44"/>
      <c r="L31" s="44"/>
    </row>
    <row r="32" spans="1:12" s="92" customFormat="1" ht="12.5">
      <c r="A32" s="218"/>
      <c r="B32" s="218"/>
      <c r="C32" s="31">
        <f t="shared" si="1"/>
        <v>2019</v>
      </c>
      <c r="D32" s="425">
        <f t="shared" si="6"/>
        <v>1.2221421021148977</v>
      </c>
      <c r="E32" s="425">
        <f t="shared" si="6"/>
        <v>1.0272479198653695</v>
      </c>
      <c r="F32" s="425">
        <f>G17/F17</f>
        <v>1.0067030865527076</v>
      </c>
      <c r="G32" s="44"/>
      <c r="H32" s="44"/>
      <c r="I32" s="44"/>
      <c r="J32" s="44"/>
      <c r="K32" s="44"/>
      <c r="L32" s="44"/>
    </row>
    <row r="33" spans="1:12" s="92" customFormat="1" ht="12.5">
      <c r="A33" s="218"/>
      <c r="B33" s="218"/>
      <c r="C33" s="31">
        <f t="shared" si="1"/>
        <v>2020</v>
      </c>
      <c r="D33" s="425">
        <f t="shared" si="6"/>
        <v>1.2251127297953521</v>
      </c>
      <c r="E33" s="425">
        <f>F18/E18</f>
        <v>1.0246548927183128</v>
      </c>
      <c r="F33" s="44"/>
      <c r="G33" s="44"/>
      <c r="H33" s="44"/>
      <c r="I33" s="44"/>
      <c r="J33" s="44"/>
      <c r="K33" s="44"/>
      <c r="L33" s="44"/>
    </row>
    <row r="34" spans="1:12" s="92" customFormat="1" ht="12.5">
      <c r="A34" s="218"/>
      <c r="B34" s="218"/>
      <c r="C34" s="31">
        <f t="shared" si="1"/>
        <v>2021</v>
      </c>
      <c r="D34" s="425">
        <f>E19/D19</f>
        <v>1.2255688231450128</v>
      </c>
      <c r="E34" s="44"/>
      <c r="F34" s="44"/>
      <c r="G34" s="44"/>
      <c r="H34" s="44"/>
      <c r="I34" s="44"/>
      <c r="J34" s="44"/>
      <c r="K34" s="44"/>
      <c r="L34" s="44"/>
    </row>
    <row r="35" spans="1:12" s="92" customFormat="1" ht="13.4" customHeight="1">
      <c r="A35" s="123"/>
      <c r="B35" s="123"/>
      <c r="C35" s="44"/>
      <c r="D35" s="44"/>
      <c r="E35" s="218"/>
      <c r="F35" s="44"/>
      <c r="G35" s="44"/>
      <c r="H35" s="120"/>
      <c r="I35" s="44"/>
      <c r="J35" s="44"/>
      <c r="K35" s="44"/>
      <c r="L35" s="44"/>
    </row>
    <row r="36" spans="1:12" s="92" customFormat="1" ht="12.5">
      <c r="A36" s="218"/>
      <c r="B36" s="218"/>
      <c r="C36" s="218" t="s">
        <v>244</v>
      </c>
      <c r="D36" s="42">
        <f>D34</f>
        <v>1.2255688231450128</v>
      </c>
      <c r="E36" s="42">
        <f>E33</f>
        <v>1.0246548927183128</v>
      </c>
      <c r="F36" s="42">
        <f>F32</f>
        <v>1.0067030865527076</v>
      </c>
      <c r="G36" s="42">
        <f>G31</f>
        <v>1.0020962558357911</v>
      </c>
      <c r="H36" s="42">
        <f>H30</f>
        <v>1.0009007252855098</v>
      </c>
      <c r="I36" s="42">
        <f>I29</f>
        <v>1.0000944096028053</v>
      </c>
      <c r="J36" s="44"/>
      <c r="K36" s="44"/>
      <c r="L36" s="218"/>
    </row>
    <row r="37" spans="1:12" s="92" customFormat="1" ht="12.5">
      <c r="A37" s="218"/>
      <c r="B37" s="218"/>
      <c r="C37" s="218" t="s">
        <v>21</v>
      </c>
      <c r="D37" s="42">
        <f t="shared" ref="D37:I37" si="8">D36*E37</f>
        <v>1.2710342288800724</v>
      </c>
      <c r="E37" s="42">
        <f t="shared" si="8"/>
        <v>1.0370973909228434</v>
      </c>
      <c r="F37" s="42">
        <f t="shared" si="8"/>
        <v>1.012143111103019</v>
      </c>
      <c r="G37" s="42">
        <f t="shared" si="8"/>
        <v>1.005403802395143</v>
      </c>
      <c r="H37" s="42">
        <f t="shared" si="8"/>
        <v>1.0033006275994847</v>
      </c>
      <c r="I37" s="42">
        <f t="shared" si="8"/>
        <v>1.0023977426065811</v>
      </c>
      <c r="J37" s="420">
        <v>1.0023031155675499</v>
      </c>
      <c r="K37" s="44"/>
      <c r="L37" s="218"/>
    </row>
    <row r="38" spans="1:12" s="92" customFormat="1" ht="12.5">
      <c r="A38" s="218"/>
      <c r="B38" s="218"/>
      <c r="C38" s="218"/>
      <c r="D38" s="218"/>
      <c r="E38" s="218"/>
      <c r="F38" s="218"/>
      <c r="G38" s="218"/>
      <c r="H38" s="218"/>
      <c r="I38" s="218"/>
      <c r="J38" s="218"/>
      <c r="K38" s="218"/>
      <c r="L38" s="218"/>
    </row>
    <row r="39" spans="1:12" s="92" customFormat="1" ht="12.5">
      <c r="A39" s="218"/>
      <c r="B39" s="218"/>
      <c r="C39" s="218"/>
      <c r="D39" s="249"/>
      <c r="E39" s="249"/>
      <c r="F39" s="249"/>
      <c r="G39" s="249"/>
      <c r="H39" s="249"/>
      <c r="I39" s="249"/>
      <c r="J39" s="249"/>
      <c r="K39" s="250"/>
      <c r="L39" s="108"/>
    </row>
    <row r="40" spans="1:12" s="92" customFormat="1" ht="12.5">
      <c r="A40" s="218"/>
      <c r="B40" s="218"/>
      <c r="C40" s="218" t="s">
        <v>245</v>
      </c>
      <c r="D40" s="70">
        <f>'Exhibits 2.5.3 - 2.5.8'!D41</f>
        <v>2022</v>
      </c>
      <c r="E40" s="70">
        <f>'Exhibits 2.5.3 - 2.5.8'!E41</f>
        <v>2021</v>
      </c>
      <c r="F40" s="70">
        <f>'Exhibits 2.5.3 - 2.5.8'!F41</f>
        <v>2020</v>
      </c>
      <c r="G40" s="70">
        <f>'Exhibits 2.5.3 - 2.5.8'!G41</f>
        <v>2019</v>
      </c>
      <c r="H40" s="70">
        <f>'Exhibits 2.5.3 - 2.5.8'!H41</f>
        <v>2018</v>
      </c>
      <c r="I40" s="70">
        <f>'Exhibits 2.5.3 - 2.5.8'!I41</f>
        <v>2017</v>
      </c>
      <c r="J40" s="70">
        <f>'Exhibits 2.5.3 - 2.5.8'!J41</f>
        <v>2016</v>
      </c>
      <c r="K40" s="70"/>
      <c r="L40" s="70"/>
    </row>
    <row r="41" spans="1:12" s="92" customFormat="1" ht="12.5">
      <c r="A41" s="218"/>
      <c r="B41" s="218"/>
      <c r="C41" s="218" t="s">
        <v>246</v>
      </c>
      <c r="D41" s="71">
        <f>D37*D20</f>
        <v>157544.69266968497</v>
      </c>
      <c r="E41" s="71">
        <f>E37*E19</f>
        <v>149767.23422316782</v>
      </c>
      <c r="F41" s="71">
        <f>F37*F18</f>
        <v>135532.03543536086</v>
      </c>
      <c r="G41" s="71">
        <f>G37*G17</f>
        <v>155073.48248142685</v>
      </c>
      <c r="H41" s="71">
        <f>H37*H16</f>
        <v>152039.17380579832</v>
      </c>
      <c r="I41" s="71">
        <f>I37*I15</f>
        <v>149260.03106734774</v>
      </c>
      <c r="J41" s="71">
        <f>J37*J14</f>
        <v>148645.56125112993</v>
      </c>
      <c r="K41" s="125"/>
      <c r="L41" s="254"/>
    </row>
    <row r="42" spans="1:12" s="92" customFormat="1" ht="12.5">
      <c r="A42" s="218"/>
      <c r="B42" s="218"/>
      <c r="C42" s="218"/>
      <c r="D42" s="254"/>
      <c r="E42" s="254"/>
      <c r="F42" s="254"/>
      <c r="G42" s="254"/>
      <c r="H42" s="254"/>
      <c r="I42" s="254"/>
      <c r="J42" s="254"/>
      <c r="K42" s="254"/>
      <c r="L42" s="254"/>
    </row>
    <row r="43" spans="1:12" s="92" customFormat="1" ht="12.5">
      <c r="A43" s="118"/>
      <c r="B43" s="118" t="s">
        <v>247</v>
      </c>
      <c r="C43" s="118"/>
      <c r="D43" s="118"/>
      <c r="E43" s="118"/>
      <c r="F43" s="118"/>
      <c r="G43" s="118"/>
      <c r="H43" s="118"/>
      <c r="I43" s="118"/>
      <c r="J43" s="118"/>
      <c r="K43" s="117"/>
      <c r="L43" s="218"/>
    </row>
    <row r="44" spans="1:12" s="92" customFormat="1" ht="12.5">
      <c r="A44" s="218"/>
      <c r="B44" s="218"/>
      <c r="C44" s="218"/>
      <c r="D44" s="218"/>
      <c r="E44" s="218"/>
      <c r="F44" s="218"/>
      <c r="G44" s="218"/>
      <c r="H44" s="218"/>
      <c r="I44" s="218"/>
      <c r="J44" s="218"/>
      <c r="K44" s="218"/>
      <c r="L44" s="218"/>
    </row>
    <row r="45" spans="1:12" s="92" customFormat="1" ht="12.5">
      <c r="A45" s="218"/>
      <c r="B45" s="218"/>
      <c r="C45" s="31" t="s">
        <v>192</v>
      </c>
      <c r="D45" s="509" t="s">
        <v>287</v>
      </c>
      <c r="E45" s="509"/>
      <c r="F45" s="509"/>
      <c r="G45" s="509"/>
      <c r="H45" s="509"/>
      <c r="I45" s="509"/>
      <c r="J45" s="509"/>
      <c r="K45" s="250"/>
      <c r="L45" s="218"/>
    </row>
    <row r="46" spans="1:12" s="92" customFormat="1" ht="12.5">
      <c r="A46" s="218"/>
      <c r="B46" s="31"/>
      <c r="C46" s="33" t="s">
        <v>8</v>
      </c>
      <c r="D46" s="70">
        <f t="shared" ref="D46:J46" si="9">+D9</f>
        <v>12</v>
      </c>
      <c r="E46" s="70">
        <f t="shared" si="9"/>
        <v>24</v>
      </c>
      <c r="F46" s="70">
        <f t="shared" si="9"/>
        <v>36</v>
      </c>
      <c r="G46" s="70">
        <f t="shared" si="9"/>
        <v>48</v>
      </c>
      <c r="H46" s="70">
        <f t="shared" si="9"/>
        <v>60</v>
      </c>
      <c r="I46" s="70">
        <f t="shared" si="9"/>
        <v>72</v>
      </c>
      <c r="J46" s="70">
        <f t="shared" si="9"/>
        <v>84</v>
      </c>
      <c r="K46" s="70"/>
      <c r="L46" s="33"/>
    </row>
    <row r="47" spans="1:12" s="92" customFormat="1" ht="4.5" customHeight="1">
      <c r="A47" s="218"/>
      <c r="B47" s="218"/>
      <c r="C47" s="218"/>
      <c r="D47" s="218"/>
      <c r="E47" s="218"/>
      <c r="F47" s="218"/>
      <c r="G47" s="218"/>
      <c r="H47" s="218"/>
      <c r="I47" s="218"/>
      <c r="J47" s="218"/>
      <c r="K47" s="218"/>
      <c r="L47" s="218"/>
    </row>
    <row r="48" spans="1:12" s="92" customFormat="1" ht="12.5">
      <c r="A48" s="218"/>
      <c r="B48" s="31"/>
      <c r="C48" s="31">
        <f t="shared" ref="C48:C57" si="10">+C11</f>
        <v>2013</v>
      </c>
      <c r="D48" s="419"/>
      <c r="E48" s="419"/>
      <c r="F48" s="419"/>
      <c r="G48" s="419"/>
      <c r="H48" s="419"/>
      <c r="I48" s="419"/>
      <c r="J48" s="419">
        <v>124817.23697241761</v>
      </c>
      <c r="K48" s="125"/>
      <c r="L48" s="218"/>
    </row>
    <row r="49" spans="1:12" s="92" customFormat="1" ht="12.5">
      <c r="A49" s="218"/>
      <c r="B49" s="31"/>
      <c r="C49" s="31">
        <f t="shared" si="10"/>
        <v>2014</v>
      </c>
      <c r="D49" s="419"/>
      <c r="E49" s="419"/>
      <c r="F49" s="419"/>
      <c r="G49" s="419"/>
      <c r="H49" s="419"/>
      <c r="I49" s="419">
        <v>126836.75295741325</v>
      </c>
      <c r="J49" s="419">
        <v>130742</v>
      </c>
      <c r="K49" s="125"/>
      <c r="L49" s="218"/>
    </row>
    <row r="50" spans="1:12" s="92" customFormat="1" ht="12.5">
      <c r="A50" s="218"/>
      <c r="B50" s="218"/>
      <c r="C50" s="31">
        <f t="shared" si="10"/>
        <v>2015</v>
      </c>
      <c r="D50" s="419"/>
      <c r="E50" s="419"/>
      <c r="F50" s="419"/>
      <c r="G50" s="419"/>
      <c r="H50" s="419">
        <v>126957.07430831231</v>
      </c>
      <c r="I50" s="419">
        <v>132452</v>
      </c>
      <c r="J50" s="419">
        <v>136112</v>
      </c>
      <c r="K50" s="125"/>
      <c r="L50" s="218"/>
    </row>
    <row r="51" spans="1:12" s="92" customFormat="1" ht="12.5">
      <c r="A51" s="218"/>
      <c r="B51" s="218"/>
      <c r="C51" s="31">
        <f t="shared" si="10"/>
        <v>2016</v>
      </c>
      <c r="D51" s="419"/>
      <c r="E51" s="419"/>
      <c r="F51" s="419"/>
      <c r="G51" s="419">
        <v>121770</v>
      </c>
      <c r="H51" s="419">
        <v>130634.00000000001</v>
      </c>
      <c r="I51" s="419">
        <v>135941</v>
      </c>
      <c r="J51" s="419">
        <v>139548</v>
      </c>
      <c r="K51" s="125"/>
      <c r="L51" s="218"/>
    </row>
    <row r="52" spans="1:12" s="92" customFormat="1" ht="13.4" customHeight="1">
      <c r="A52" s="218"/>
      <c r="B52" s="218"/>
      <c r="C52" s="31">
        <f t="shared" si="10"/>
        <v>2017</v>
      </c>
      <c r="D52" s="419"/>
      <c r="E52" s="419"/>
      <c r="F52" s="419">
        <v>107659.00000000001</v>
      </c>
      <c r="G52" s="419">
        <v>122454.00000000001</v>
      </c>
      <c r="H52" s="419">
        <v>131310</v>
      </c>
      <c r="I52" s="419">
        <v>136689</v>
      </c>
      <c r="J52" s="419"/>
      <c r="K52" s="125"/>
      <c r="L52" s="218"/>
    </row>
    <row r="53" spans="1:12" s="92" customFormat="1" ht="13.4" customHeight="1">
      <c r="A53" s="218"/>
      <c r="B53" s="218"/>
      <c r="C53" s="31">
        <f t="shared" si="10"/>
        <v>2018</v>
      </c>
      <c r="D53" s="419"/>
      <c r="E53" s="419">
        <v>82698</v>
      </c>
      <c r="F53" s="419">
        <v>107292</v>
      </c>
      <c r="G53" s="419">
        <v>123010</v>
      </c>
      <c r="H53" s="419">
        <v>132892</v>
      </c>
      <c r="I53" s="419"/>
      <c r="J53" s="419"/>
      <c r="K53" s="125"/>
      <c r="L53" s="218"/>
    </row>
    <row r="54" spans="1:12" s="92" customFormat="1" ht="13.4" customHeight="1">
      <c r="A54" s="218"/>
      <c r="B54" s="218"/>
      <c r="C54" s="31">
        <f t="shared" si="10"/>
        <v>2019</v>
      </c>
      <c r="D54" s="419">
        <v>37930</v>
      </c>
      <c r="E54" s="419">
        <v>80596</v>
      </c>
      <c r="F54" s="419">
        <v>105847</v>
      </c>
      <c r="G54" s="419">
        <v>123713</v>
      </c>
      <c r="H54" s="419"/>
      <c r="I54" s="419"/>
      <c r="J54" s="419"/>
      <c r="K54" s="125"/>
      <c r="L54" s="218"/>
    </row>
    <row r="55" spans="1:12" s="92" customFormat="1" ht="12.5">
      <c r="A55" s="218"/>
      <c r="B55" s="218"/>
      <c r="C55" s="31">
        <f t="shared" si="10"/>
        <v>2020</v>
      </c>
      <c r="D55" s="419">
        <v>31975</v>
      </c>
      <c r="E55" s="419">
        <v>69531</v>
      </c>
      <c r="F55" s="419">
        <v>92349</v>
      </c>
      <c r="G55" s="419"/>
      <c r="H55" s="419"/>
      <c r="I55" s="419"/>
      <c r="J55" s="419"/>
      <c r="K55" s="125"/>
      <c r="L55" s="218"/>
    </row>
    <row r="56" spans="1:12" s="92" customFormat="1" ht="12.5">
      <c r="A56" s="218"/>
      <c r="B56" s="218"/>
      <c r="C56" s="31">
        <f t="shared" si="10"/>
        <v>2021</v>
      </c>
      <c r="D56" s="419">
        <v>36982</v>
      </c>
      <c r="E56" s="419">
        <v>80484</v>
      </c>
      <c r="F56" s="419"/>
      <c r="G56" s="419"/>
      <c r="H56" s="419"/>
      <c r="I56" s="419"/>
      <c r="J56" s="419"/>
      <c r="K56" s="125"/>
      <c r="L56" s="218"/>
    </row>
    <row r="57" spans="1:12" s="92" customFormat="1" ht="12.5">
      <c r="A57" s="218"/>
      <c r="B57" s="218"/>
      <c r="C57" s="31">
        <f t="shared" si="10"/>
        <v>2022</v>
      </c>
      <c r="D57" s="419">
        <v>39762</v>
      </c>
      <c r="E57" s="419"/>
      <c r="F57" s="419"/>
      <c r="G57" s="419"/>
      <c r="H57" s="419"/>
      <c r="I57" s="419"/>
      <c r="J57" s="419"/>
      <c r="K57" s="125"/>
      <c r="L57" s="218"/>
    </row>
    <row r="58" spans="1:12" s="92" customFormat="1" ht="12.5">
      <c r="A58" s="218"/>
      <c r="B58" s="218"/>
      <c r="C58" s="31"/>
      <c r="D58" s="218"/>
      <c r="E58" s="218"/>
      <c r="F58" s="218"/>
      <c r="G58" s="218"/>
      <c r="H58" s="218"/>
      <c r="I58" s="218"/>
      <c r="J58" s="218"/>
      <c r="K58" s="218"/>
      <c r="L58" s="218"/>
    </row>
    <row r="59" spans="1:12" s="92" customFormat="1" ht="12.5">
      <c r="A59" s="218"/>
      <c r="B59" s="108" t="s">
        <v>421</v>
      </c>
      <c r="C59" s="41"/>
      <c r="D59" s="41"/>
      <c r="E59" s="41"/>
      <c r="F59" s="41"/>
      <c r="G59" s="41"/>
      <c r="H59" s="41"/>
      <c r="I59" s="41"/>
      <c r="J59" s="41"/>
      <c r="K59" s="218"/>
      <c r="L59" s="218"/>
    </row>
    <row r="60" spans="1:12" ht="45" customHeight="1">
      <c r="A60" s="108"/>
      <c r="B60" s="108"/>
      <c r="C60" s="250"/>
      <c r="D60" s="112"/>
      <c r="E60" s="112"/>
      <c r="F60" s="112"/>
      <c r="G60" s="113"/>
      <c r="H60" s="113"/>
      <c r="I60" s="113"/>
      <c r="J60" s="112"/>
      <c r="K60" s="112"/>
      <c r="L60" s="46" t="s">
        <v>357</v>
      </c>
    </row>
    <row r="61" spans="1:12" s="92" customFormat="1" ht="13">
      <c r="A61" s="122" t="s">
        <v>35</v>
      </c>
      <c r="B61" s="122"/>
      <c r="C61" s="122"/>
      <c r="D61" s="122"/>
      <c r="E61" s="122"/>
      <c r="F61" s="122"/>
      <c r="G61" s="122"/>
      <c r="H61" s="122"/>
      <c r="I61" s="122"/>
      <c r="J61" s="122"/>
      <c r="K61" s="122"/>
      <c r="L61" s="122"/>
    </row>
    <row r="62" spans="1:12" s="92" customFormat="1" ht="13">
      <c r="A62" s="122" t="s">
        <v>240</v>
      </c>
      <c r="B62" s="122"/>
      <c r="C62" s="122"/>
      <c r="D62" s="122"/>
      <c r="E62" s="122"/>
      <c r="F62" s="122"/>
      <c r="G62" s="122"/>
      <c r="H62" s="122"/>
      <c r="I62" s="122"/>
      <c r="J62" s="122"/>
      <c r="K62" s="122"/>
      <c r="L62" s="122"/>
    </row>
    <row r="63" spans="1:12" s="92" customFormat="1" ht="13">
      <c r="A63" s="122" t="s">
        <v>241</v>
      </c>
      <c r="B63" s="122"/>
      <c r="C63" s="122"/>
      <c r="D63" s="122"/>
      <c r="E63" s="122"/>
      <c r="F63" s="122"/>
      <c r="G63" s="122"/>
      <c r="H63" s="122"/>
      <c r="I63" s="122"/>
      <c r="J63" s="122"/>
      <c r="K63" s="122"/>
      <c r="L63" s="122"/>
    </row>
    <row r="64" spans="1:12" s="92" customFormat="1" ht="13">
      <c r="A64" s="248"/>
      <c r="B64" s="248"/>
      <c r="C64" s="248"/>
      <c r="D64" s="248"/>
      <c r="E64" s="248"/>
      <c r="F64" s="248"/>
      <c r="G64" s="248"/>
      <c r="H64" s="248"/>
      <c r="I64" s="248"/>
      <c r="J64" s="248"/>
      <c r="K64" s="248"/>
      <c r="L64" s="248"/>
    </row>
    <row r="65" spans="1:12" s="92" customFormat="1" ht="12.5">
      <c r="A65" s="218"/>
      <c r="B65" s="218"/>
      <c r="C65" s="218"/>
      <c r="D65" s="218"/>
      <c r="E65" s="218"/>
      <c r="F65" s="218"/>
      <c r="G65" s="218"/>
      <c r="H65" s="218"/>
      <c r="I65" s="218"/>
      <c r="J65" s="218"/>
      <c r="K65" s="218"/>
      <c r="L65" s="218"/>
    </row>
    <row r="66" spans="1:12" s="92" customFormat="1" ht="12.5">
      <c r="A66" s="118"/>
      <c r="B66" s="118" t="s">
        <v>289</v>
      </c>
      <c r="C66" s="118"/>
      <c r="D66" s="118"/>
      <c r="E66" s="118"/>
      <c r="F66" s="118"/>
      <c r="G66" s="118"/>
      <c r="H66" s="118"/>
      <c r="I66" s="118"/>
      <c r="J66" s="118"/>
      <c r="K66" s="117"/>
      <c r="L66" s="218"/>
    </row>
    <row r="67" spans="1:12" s="92" customFormat="1" ht="12.5">
      <c r="A67" s="218"/>
      <c r="B67" s="218"/>
      <c r="C67" s="218"/>
      <c r="D67" s="218"/>
      <c r="E67" s="218"/>
      <c r="F67" s="218"/>
      <c r="G67" s="218"/>
      <c r="H67" s="218"/>
      <c r="I67" s="218"/>
      <c r="J67" s="218"/>
      <c r="K67" s="218"/>
      <c r="L67" s="218"/>
    </row>
    <row r="68" spans="1:12" s="92" customFormat="1" ht="12.5">
      <c r="A68" s="218"/>
      <c r="B68" s="218"/>
      <c r="C68" s="31" t="s">
        <v>192</v>
      </c>
      <c r="D68" s="509" t="s">
        <v>287</v>
      </c>
      <c r="E68" s="509"/>
      <c r="F68" s="509"/>
      <c r="G68" s="509"/>
      <c r="H68" s="509"/>
      <c r="I68" s="509"/>
      <c r="J68" s="509"/>
      <c r="K68" s="250"/>
      <c r="L68" s="218"/>
    </row>
    <row r="69" spans="1:12" s="92" customFormat="1" ht="12.5">
      <c r="A69" s="218"/>
      <c r="B69" s="218"/>
      <c r="C69" s="33" t="s">
        <v>8</v>
      </c>
      <c r="D69" s="70">
        <f t="shared" ref="D69:J69" si="11">D46</f>
        <v>12</v>
      </c>
      <c r="E69" s="70">
        <f t="shared" si="11"/>
        <v>24</v>
      </c>
      <c r="F69" s="70">
        <f t="shared" si="11"/>
        <v>36</v>
      </c>
      <c r="G69" s="70">
        <f t="shared" si="11"/>
        <v>48</v>
      </c>
      <c r="H69" s="70">
        <f t="shared" si="11"/>
        <v>60</v>
      </c>
      <c r="I69" s="70">
        <f t="shared" si="11"/>
        <v>72</v>
      </c>
      <c r="J69" s="70">
        <f t="shared" si="11"/>
        <v>84</v>
      </c>
      <c r="K69" s="70"/>
      <c r="L69" s="33"/>
    </row>
    <row r="70" spans="1:12" s="92" customFormat="1" ht="4.5" customHeight="1">
      <c r="A70" s="218"/>
      <c r="B70" s="218"/>
      <c r="C70" s="218"/>
      <c r="D70" s="218"/>
      <c r="E70" s="218"/>
      <c r="F70" s="218"/>
      <c r="G70" s="218"/>
      <c r="H70" s="218"/>
      <c r="I70" s="218"/>
      <c r="J70" s="218"/>
      <c r="K70" s="218"/>
      <c r="L70" s="218"/>
    </row>
    <row r="71" spans="1:12" s="92" customFormat="1" ht="12.5">
      <c r="A71" s="218"/>
      <c r="B71" s="218"/>
      <c r="C71" s="31">
        <f t="shared" ref="C71:C80" si="12">C48</f>
        <v>2013</v>
      </c>
      <c r="D71" s="255"/>
      <c r="E71" s="255"/>
      <c r="F71" s="255"/>
      <c r="G71" s="255"/>
      <c r="H71" s="421"/>
      <c r="I71" s="421"/>
      <c r="J71" s="421">
        <v>0.9282723828263808</v>
      </c>
      <c r="K71" s="255"/>
      <c r="L71" s="255"/>
    </row>
    <row r="72" spans="1:12" s="92" customFormat="1" ht="12.5">
      <c r="A72" s="218"/>
      <c r="B72" s="218"/>
      <c r="C72" s="31">
        <f t="shared" si="12"/>
        <v>2014</v>
      </c>
      <c r="D72" s="255"/>
      <c r="E72" s="255"/>
      <c r="F72" s="255"/>
      <c r="G72" s="255"/>
      <c r="H72" s="421"/>
      <c r="I72" s="421">
        <v>0.90448364308207063</v>
      </c>
      <c r="J72" s="421">
        <v>0.93233229096885728</v>
      </c>
      <c r="K72" s="255"/>
      <c r="L72" s="255"/>
    </row>
    <row r="73" spans="1:12" s="92" customFormat="1" ht="12.5">
      <c r="A73" s="218"/>
      <c r="B73" s="218"/>
      <c r="C73" s="31">
        <f t="shared" si="12"/>
        <v>2015</v>
      </c>
      <c r="D73" s="255"/>
      <c r="E73" s="255"/>
      <c r="F73" s="255"/>
      <c r="G73" s="255"/>
      <c r="H73" s="421">
        <v>0.8729881964127284</v>
      </c>
      <c r="I73" s="421">
        <v>0.91077266250210109</v>
      </c>
      <c r="J73" s="421">
        <v>0.93593972638001677</v>
      </c>
      <c r="K73" s="255"/>
      <c r="L73" s="255"/>
    </row>
    <row r="74" spans="1:12" s="92" customFormat="1" ht="12.5">
      <c r="A74" s="218"/>
      <c r="B74" s="218"/>
      <c r="C74" s="31">
        <f t="shared" si="12"/>
        <v>2016</v>
      </c>
      <c r="D74" s="255"/>
      <c r="E74" s="255"/>
      <c r="F74" s="255"/>
      <c r="G74" s="442">
        <f t="shared" ref="G74:H74" si="13">G51/HLOOKUP($C74,$D$40:$J$41,2,FALSE)</f>
        <v>0.81919701452958371</v>
      </c>
      <c r="H74" s="442">
        <f t="shared" si="13"/>
        <v>0.8788287985222768</v>
      </c>
      <c r="I74" s="442">
        <f t="shared" ref="I74:J74" si="14">I51/HLOOKUP($C74,$D$40:$J$41,2,FALSE)</f>
        <v>0.9145311764159163</v>
      </c>
      <c r="J74" s="442">
        <f t="shared" si="14"/>
        <v>0.9387969531376722</v>
      </c>
      <c r="K74" s="255"/>
      <c r="L74" s="218"/>
    </row>
    <row r="75" spans="1:12" s="92" customFormat="1" ht="12.5">
      <c r="A75" s="218"/>
      <c r="B75" s="218"/>
      <c r="C75" s="31">
        <f t="shared" si="12"/>
        <v>2017</v>
      </c>
      <c r="D75" s="255"/>
      <c r="E75" s="255"/>
      <c r="F75" s="442">
        <f t="shared" ref="F75:G75" si="15">F52/HLOOKUP($C75,$D$40:$J$41,2,FALSE)</f>
        <v>0.72128485589972247</v>
      </c>
      <c r="G75" s="442">
        <f t="shared" si="15"/>
        <v>0.8204071721300088</v>
      </c>
      <c r="H75" s="442">
        <f t="shared" ref="H75:I75" si="16">H52/HLOOKUP($C75,$D$40:$J$41,2,FALSE)</f>
        <v>0.87973986780661673</v>
      </c>
      <c r="I75" s="442">
        <f t="shared" si="16"/>
        <v>0.91577764671859441</v>
      </c>
      <c r="J75" s="255"/>
      <c r="K75" s="255"/>
      <c r="L75" s="218"/>
    </row>
    <row r="76" spans="1:12" s="92" customFormat="1" ht="12.5">
      <c r="A76" s="218"/>
      <c r="B76" s="218"/>
      <c r="C76" s="31">
        <f t="shared" si="12"/>
        <v>2018</v>
      </c>
      <c r="D76" s="255"/>
      <c r="E76" s="442">
        <f t="shared" ref="D76:E79" si="17">E53/HLOOKUP($C76,$D$40:$J$41,2,FALSE)</f>
        <v>0.54392560765708498</v>
      </c>
      <c r="F76" s="442">
        <f t="shared" ref="F76:G76" si="18">F53/HLOOKUP($C76,$D$40:$J$41,2,FALSE)</f>
        <v>0.70568654981673018</v>
      </c>
      <c r="G76" s="442">
        <f t="shared" si="18"/>
        <v>0.80906780088875208</v>
      </c>
      <c r="H76" s="442">
        <f t="shared" ref="H76" si="19">H53/HLOOKUP($C76,$D$40:$J$41,2,FALSE)</f>
        <v>0.87406420775309357</v>
      </c>
      <c r="I76" s="255"/>
      <c r="J76" s="255"/>
      <c r="K76" s="255"/>
      <c r="L76" s="218"/>
    </row>
    <row r="77" spans="1:12" s="92" customFormat="1" ht="12.5">
      <c r="A77" s="218"/>
      <c r="B77" s="218"/>
      <c r="C77" s="31">
        <f t="shared" si="12"/>
        <v>2019</v>
      </c>
      <c r="D77" s="442">
        <f t="shared" si="17"/>
        <v>0.24459372029994153</v>
      </c>
      <c r="E77" s="442">
        <f t="shared" si="17"/>
        <v>0.51972780071959102</v>
      </c>
      <c r="F77" s="442">
        <f t="shared" ref="F77" si="20">F54/HLOOKUP($C77,$D$40:$J$41,2,FALSE)</f>
        <v>0.68256028243047484</v>
      </c>
      <c r="G77" s="442">
        <f>G54/HLOOKUP($C77,$D$40:$J$41,2,FALSE)</f>
        <v>0.79777017979084275</v>
      </c>
      <c r="H77" s="255"/>
      <c r="I77" s="255"/>
      <c r="J77" s="255"/>
      <c r="K77" s="255"/>
      <c r="L77" s="218"/>
    </row>
    <row r="78" spans="1:12" s="92" customFormat="1" ht="12.5">
      <c r="A78" s="218"/>
      <c r="B78" s="218"/>
      <c r="C78" s="31">
        <f t="shared" si="12"/>
        <v>2020</v>
      </c>
      <c r="D78" s="442">
        <f t="shared" si="17"/>
        <v>0.23592208216521474</v>
      </c>
      <c r="E78" s="442">
        <f t="shared" si="17"/>
        <v>0.51302262064204995</v>
      </c>
      <c r="F78" s="442">
        <f>F55/HLOOKUP($C78,$D$40:$J$41,2,FALSE)</f>
        <v>0.68138134060595512</v>
      </c>
      <c r="G78" s="255"/>
      <c r="H78" s="255"/>
      <c r="I78" s="255"/>
      <c r="J78" s="255"/>
      <c r="K78" s="255"/>
      <c r="L78" s="218"/>
    </row>
    <row r="79" spans="1:12" s="92" customFormat="1" ht="12.5">
      <c r="A79" s="218"/>
      <c r="B79" s="218"/>
      <c r="C79" s="31">
        <f t="shared" si="12"/>
        <v>2021</v>
      </c>
      <c r="D79" s="442">
        <f t="shared" si="17"/>
        <v>0.2469298454486594</v>
      </c>
      <c r="E79" s="442">
        <f>E56/HLOOKUP($C79,$D$40:$J$41,2,FALSE)</f>
        <v>0.53739391274376458</v>
      </c>
      <c r="F79" s="255"/>
      <c r="G79" s="255"/>
      <c r="H79" s="255"/>
      <c r="I79" s="255"/>
      <c r="J79" s="255"/>
      <c r="K79" s="255"/>
      <c r="L79" s="218"/>
    </row>
    <row r="80" spans="1:12" s="92" customFormat="1" ht="12.5">
      <c r="A80" s="218"/>
      <c r="B80" s="218"/>
      <c r="C80" s="31">
        <f t="shared" si="12"/>
        <v>2022</v>
      </c>
      <c r="D80" s="442">
        <f>D57/HLOOKUP($C80,$D$40:$J$41,2,FALSE)</f>
        <v>0.25238552518786989</v>
      </c>
      <c r="E80" s="255"/>
      <c r="F80" s="255"/>
      <c r="G80" s="255"/>
      <c r="H80" s="255"/>
      <c r="I80" s="255"/>
      <c r="J80" s="255"/>
      <c r="K80" s="255"/>
      <c r="L80" s="218"/>
    </row>
    <row r="81" spans="1:12" s="92" customFormat="1" ht="12.5">
      <c r="A81" s="218"/>
      <c r="B81" s="218"/>
      <c r="C81" s="31"/>
      <c r="D81" s="255"/>
      <c r="E81" s="218"/>
      <c r="F81" s="255"/>
      <c r="G81" s="255"/>
      <c r="H81" s="255"/>
      <c r="I81" s="255"/>
      <c r="J81" s="255"/>
      <c r="K81" s="255"/>
      <c r="L81" s="218"/>
    </row>
    <row r="82" spans="1:12" s="92" customFormat="1" ht="12.5">
      <c r="A82" s="118"/>
      <c r="B82" s="118" t="s">
        <v>290</v>
      </c>
      <c r="C82" s="118"/>
      <c r="D82" s="118"/>
      <c r="E82" s="118"/>
      <c r="F82" s="118"/>
      <c r="G82" s="118"/>
      <c r="H82" s="118"/>
      <c r="I82" s="118"/>
      <c r="J82" s="118"/>
      <c r="K82" s="118"/>
      <c r="L82" s="118"/>
    </row>
    <row r="83" spans="1:12" s="92" customFormat="1" ht="12.5">
      <c r="A83" s="218"/>
      <c r="B83" s="218"/>
      <c r="C83" s="218"/>
      <c r="D83" s="218"/>
      <c r="E83" s="218"/>
      <c r="F83" s="218"/>
      <c r="G83" s="218"/>
      <c r="H83" s="218"/>
      <c r="I83" s="218"/>
      <c r="J83" s="218"/>
      <c r="K83" s="218"/>
      <c r="L83" s="218"/>
    </row>
    <row r="84" spans="1:12" s="92" customFormat="1" ht="12.5">
      <c r="A84" s="218"/>
      <c r="B84" s="218"/>
      <c r="C84" s="31" t="s">
        <v>192</v>
      </c>
      <c r="D84" s="509" t="s">
        <v>287</v>
      </c>
      <c r="E84" s="509"/>
      <c r="F84" s="509"/>
      <c r="G84" s="509"/>
      <c r="H84" s="509"/>
      <c r="I84" s="509"/>
      <c r="J84" s="509"/>
      <c r="K84" s="250"/>
      <c r="L84" s="218"/>
    </row>
    <row r="85" spans="1:12" s="92" customFormat="1" ht="12.5">
      <c r="A85" s="218"/>
      <c r="B85" s="218"/>
      <c r="C85" s="33" t="s">
        <v>8</v>
      </c>
      <c r="D85" s="70">
        <f t="shared" ref="D85:J85" si="21">+D69</f>
        <v>12</v>
      </c>
      <c r="E85" s="70">
        <f t="shared" si="21"/>
        <v>24</v>
      </c>
      <c r="F85" s="70">
        <f t="shared" si="21"/>
        <v>36</v>
      </c>
      <c r="G85" s="70">
        <f t="shared" si="21"/>
        <v>48</v>
      </c>
      <c r="H85" s="70">
        <f t="shared" si="21"/>
        <v>60</v>
      </c>
      <c r="I85" s="70">
        <f t="shared" si="21"/>
        <v>72</v>
      </c>
      <c r="J85" s="70">
        <f t="shared" si="21"/>
        <v>84</v>
      </c>
      <c r="K85" s="70"/>
      <c r="L85" s="218"/>
    </row>
    <row r="86" spans="1:12" s="92" customFormat="1" ht="4.5" customHeight="1">
      <c r="A86" s="218"/>
      <c r="B86" s="218"/>
      <c r="C86" s="218"/>
      <c r="D86" s="218"/>
      <c r="E86" s="218"/>
      <c r="F86" s="218"/>
      <c r="G86" s="218"/>
      <c r="H86" s="218"/>
      <c r="I86" s="218"/>
      <c r="J86" s="218"/>
      <c r="K86" s="218"/>
      <c r="L86" s="218"/>
    </row>
    <row r="87" spans="1:12" s="92" customFormat="1" ht="12.5">
      <c r="A87" s="218"/>
      <c r="B87" s="218"/>
      <c r="C87" s="31">
        <f t="shared" ref="C87:C96" si="22">+C71</f>
        <v>2013</v>
      </c>
      <c r="D87" s="79"/>
      <c r="E87" s="79"/>
      <c r="F87" s="79"/>
      <c r="G87" s="79"/>
      <c r="H87" s="422"/>
      <c r="I87" s="422"/>
      <c r="J87" s="422">
        <v>126232.3903378313</v>
      </c>
      <c r="K87" s="79"/>
      <c r="L87" s="218"/>
    </row>
    <row r="88" spans="1:12" s="92" customFormat="1" ht="12.5">
      <c r="A88" s="218"/>
      <c r="B88" s="218"/>
      <c r="C88" s="31">
        <f t="shared" si="22"/>
        <v>2014</v>
      </c>
      <c r="D88" s="79"/>
      <c r="E88" s="79"/>
      <c r="F88" s="79"/>
      <c r="G88" s="79"/>
      <c r="H88" s="422"/>
      <c r="I88" s="422">
        <v>128420.52371999399</v>
      </c>
      <c r="J88" s="422">
        <v>131648.54680682239</v>
      </c>
      <c r="K88" s="79"/>
      <c r="L88" s="218"/>
    </row>
    <row r="89" spans="1:12" s="92" customFormat="1" ht="12.5">
      <c r="A89" s="218"/>
      <c r="B89" s="218"/>
      <c r="C89" s="31">
        <f t="shared" si="22"/>
        <v>2015</v>
      </c>
      <c r="D89" s="79"/>
      <c r="E89" s="79"/>
      <c r="F89" s="79"/>
      <c r="G89" s="79"/>
      <c r="H89" s="422">
        <v>127113.55666655801</v>
      </c>
      <c r="I89" s="422">
        <v>133179.86568672556</v>
      </c>
      <c r="J89" s="422">
        <v>136527.52125364117</v>
      </c>
      <c r="K89" s="79"/>
      <c r="L89" s="218"/>
    </row>
    <row r="90" spans="1:12" s="92" customFormat="1" ht="12.5">
      <c r="A90" s="218"/>
      <c r="B90" s="218"/>
      <c r="C90" s="31">
        <f t="shared" si="22"/>
        <v>2016</v>
      </c>
      <c r="D90" s="79"/>
      <c r="E90" s="79"/>
      <c r="F90" s="79"/>
      <c r="G90" s="424">
        <f>HLOOKUP($C90,$D$40:$J$41,2,FALSE)*G$77</f>
        <v>118584.99612442465</v>
      </c>
      <c r="H90" s="424">
        <f>HLOOKUP($C90,$D$40:$J$41,2,FALSE)*H$76</f>
        <v>129925.76473098282</v>
      </c>
      <c r="I90" s="424">
        <f>HLOOKUP($C90,$D$40:$J$41,2,FALSE)*I$75</f>
        <v>136126.28227772444</v>
      </c>
      <c r="J90" s="424">
        <f>HLOOKUP($C90,$D$40:$J$41,2,FALSE)*J$74</f>
        <v>139548</v>
      </c>
      <c r="K90" s="79"/>
      <c r="L90" s="218"/>
    </row>
    <row r="91" spans="1:12" s="92" customFormat="1" ht="12.5">
      <c r="A91" s="218"/>
      <c r="B91" s="218"/>
      <c r="C91" s="31">
        <f t="shared" si="22"/>
        <v>2017</v>
      </c>
      <c r="D91" s="79"/>
      <c r="E91" s="79"/>
      <c r="F91" s="424">
        <f>HLOOKUP($C91,$D$40:$J$41,2,FALSE)*F$78</f>
        <v>101703.00006755591</v>
      </c>
      <c r="G91" s="424">
        <f t="shared" ref="G91:G93" si="23">HLOOKUP($C91,$D$40:$J$41,2,FALSE)*G$77</f>
        <v>119075.20182018478</v>
      </c>
      <c r="H91" s="424">
        <f t="shared" ref="H91:H92" si="24">HLOOKUP($C91,$D$40:$J$41,2,FALSE)*H$76</f>
        <v>130462.85080408343</v>
      </c>
      <c r="I91" s="424">
        <f t="shared" ref="I91" si="25">HLOOKUP($C91,$D$40:$J$41,2,FALSE)*I$75</f>
        <v>136689</v>
      </c>
      <c r="J91" s="79"/>
      <c r="K91" s="79"/>
      <c r="L91" s="218"/>
    </row>
    <row r="92" spans="1:12" s="92" customFormat="1" ht="12.5">
      <c r="A92" s="218"/>
      <c r="B92" s="218"/>
      <c r="C92" s="31">
        <f t="shared" si="22"/>
        <v>2018</v>
      </c>
      <c r="D92" s="79"/>
      <c r="E92" s="424">
        <f>HLOOKUP($C92,$D$40:$J$41,2,FALSE)*E$79</f>
        <v>81704.926501827242</v>
      </c>
      <c r="F92" s="424">
        <f t="shared" ref="F92:F94" si="26">HLOOKUP($C92,$D$40:$J$41,2,FALSE)*F$78</f>
        <v>103596.65607241668</v>
      </c>
      <c r="G92" s="424">
        <f t="shared" si="23"/>
        <v>121292.31902230291</v>
      </c>
      <c r="H92" s="424">
        <f t="shared" si="24"/>
        <v>132892</v>
      </c>
      <c r="I92" s="79"/>
      <c r="J92" s="79"/>
      <c r="K92" s="79"/>
      <c r="L92" s="218"/>
    </row>
    <row r="93" spans="1:12" s="92" customFormat="1" ht="12.5">
      <c r="A93" s="218"/>
      <c r="B93" s="218"/>
      <c r="C93" s="31">
        <f t="shared" si="22"/>
        <v>2019</v>
      </c>
      <c r="D93" s="424">
        <f t="shared" ref="D93:D95" si="27">HLOOKUP($C93,$D$40:$J$41,2,FALSE)*D$80</f>
        <v>39138.302318786853</v>
      </c>
      <c r="E93" s="424">
        <f t="shared" ref="E93:E95" si="28">HLOOKUP($C93,$D$40:$J$41,2,FALSE)*E$79</f>
        <v>83335.545513495599</v>
      </c>
      <c r="F93" s="424">
        <f t="shared" si="26"/>
        <v>105664.17738562872</v>
      </c>
      <c r="G93" s="424">
        <f t="shared" si="23"/>
        <v>123713</v>
      </c>
      <c r="H93" s="79"/>
      <c r="I93" s="79"/>
      <c r="J93" s="79"/>
      <c r="K93" s="79"/>
      <c r="L93" s="218"/>
    </row>
    <row r="94" spans="1:12" s="92" customFormat="1" ht="12.5">
      <c r="A94" s="218"/>
      <c r="B94" s="218"/>
      <c r="C94" s="31">
        <f t="shared" si="22"/>
        <v>2020</v>
      </c>
      <c r="D94" s="424">
        <f t="shared" si="27"/>
        <v>34206.323943134543</v>
      </c>
      <c r="E94" s="424">
        <f t="shared" si="28"/>
        <v>72834.090824735118</v>
      </c>
      <c r="F94" s="424">
        <f t="shared" si="26"/>
        <v>92349</v>
      </c>
      <c r="G94" s="79"/>
      <c r="H94" s="79"/>
      <c r="I94" s="79"/>
      <c r="J94" s="79"/>
      <c r="K94" s="79"/>
      <c r="L94" s="218"/>
    </row>
    <row r="95" spans="1:12" s="92" customFormat="1" ht="12.5">
      <c r="A95" s="218"/>
      <c r="B95" s="218"/>
      <c r="C95" s="31">
        <f t="shared" si="22"/>
        <v>2021</v>
      </c>
      <c r="D95" s="424">
        <f t="shared" si="27"/>
        <v>37799.082065348928</v>
      </c>
      <c r="E95" s="424">
        <f t="shared" si="28"/>
        <v>80484</v>
      </c>
      <c r="F95" s="79"/>
      <c r="G95" s="79"/>
      <c r="H95" s="79"/>
      <c r="I95" s="79"/>
      <c r="J95" s="79"/>
      <c r="K95" s="79"/>
      <c r="L95" s="218"/>
    </row>
    <row r="96" spans="1:12" s="92" customFormat="1" ht="12.5">
      <c r="A96" s="218"/>
      <c r="B96" s="218"/>
      <c r="C96" s="31">
        <f t="shared" si="22"/>
        <v>2022</v>
      </c>
      <c r="D96" s="424">
        <f t="shared" ref="D96" si="29">HLOOKUP($C96,$D$40:$J$41,2,FALSE)*D$80</f>
        <v>39761.999999999993</v>
      </c>
      <c r="E96" s="79"/>
      <c r="F96" s="79"/>
      <c r="G96" s="79"/>
      <c r="H96" s="79"/>
      <c r="I96" s="79"/>
      <c r="J96" s="79"/>
      <c r="K96" s="79"/>
      <c r="L96" s="218"/>
    </row>
    <row r="97" spans="1:12" s="92" customFormat="1" ht="12.5">
      <c r="A97" s="218"/>
      <c r="B97" s="218"/>
      <c r="C97" s="31"/>
      <c r="D97" s="79"/>
      <c r="E97" s="218"/>
      <c r="F97" s="79"/>
      <c r="G97" s="79"/>
      <c r="H97" s="79"/>
      <c r="I97" s="79"/>
      <c r="J97" s="79"/>
      <c r="K97" s="79"/>
      <c r="L97" s="218"/>
    </row>
    <row r="98" spans="1:12" s="92" customFormat="1" ht="12.5">
      <c r="A98" s="118"/>
      <c r="B98" s="118" t="s">
        <v>266</v>
      </c>
      <c r="C98" s="118"/>
      <c r="D98" s="118"/>
      <c r="E98" s="118"/>
      <c r="F98" s="118"/>
      <c r="G98" s="118"/>
      <c r="H98" s="118"/>
      <c r="I98" s="118"/>
      <c r="J98" s="118"/>
      <c r="K98" s="117"/>
      <c r="L98" s="218"/>
    </row>
    <row r="99" spans="1:12" s="92" customFormat="1" ht="12.5">
      <c r="A99" s="218"/>
      <c r="B99" s="218"/>
      <c r="C99" s="218"/>
      <c r="D99" s="218"/>
      <c r="E99" s="218"/>
      <c r="F99" s="218"/>
      <c r="G99" s="218"/>
      <c r="H99" s="218"/>
      <c r="I99" s="218"/>
      <c r="J99" s="218"/>
      <c r="K99" s="218"/>
      <c r="L99" s="218"/>
    </row>
    <row r="100" spans="1:12" s="92" customFormat="1" ht="12.5">
      <c r="A100" s="218"/>
      <c r="B100" s="218"/>
      <c r="C100" s="31" t="s">
        <v>192</v>
      </c>
      <c r="D100" s="509" t="s">
        <v>287</v>
      </c>
      <c r="E100" s="509"/>
      <c r="F100" s="509"/>
      <c r="G100" s="509"/>
      <c r="H100" s="509"/>
      <c r="I100" s="509"/>
      <c r="J100" s="509"/>
      <c r="K100" s="250"/>
      <c r="L100" s="218"/>
    </row>
    <row r="101" spans="1:12" s="92" customFormat="1" ht="12.5">
      <c r="A101" s="218"/>
      <c r="B101" s="218"/>
      <c r="C101" s="33" t="s">
        <v>8</v>
      </c>
      <c r="D101" s="70">
        <f t="shared" ref="D101:J101" si="30">+D69</f>
        <v>12</v>
      </c>
      <c r="E101" s="70">
        <f t="shared" si="30"/>
        <v>24</v>
      </c>
      <c r="F101" s="70">
        <f t="shared" si="30"/>
        <v>36</v>
      </c>
      <c r="G101" s="70">
        <f t="shared" si="30"/>
        <v>48</v>
      </c>
      <c r="H101" s="70">
        <f t="shared" si="30"/>
        <v>60</v>
      </c>
      <c r="I101" s="70">
        <f t="shared" si="30"/>
        <v>72</v>
      </c>
      <c r="J101" s="70">
        <f t="shared" si="30"/>
        <v>84</v>
      </c>
      <c r="K101" s="70"/>
      <c r="L101" s="218"/>
    </row>
    <row r="102" spans="1:12" s="92" customFormat="1" ht="4.5" customHeight="1">
      <c r="A102" s="218"/>
      <c r="B102" s="218"/>
      <c r="C102" s="218"/>
      <c r="D102" s="218"/>
      <c r="E102" s="218"/>
      <c r="F102" s="218"/>
      <c r="G102" s="218"/>
      <c r="H102" s="218"/>
      <c r="I102" s="218"/>
      <c r="J102" s="218"/>
      <c r="K102" s="218"/>
      <c r="L102" s="218"/>
    </row>
    <row r="103" spans="1:12" s="92" customFormat="1" ht="12.5">
      <c r="A103" s="218"/>
      <c r="B103" s="218"/>
      <c r="C103" s="31">
        <f t="shared" ref="C103:C110" si="31">+C71</f>
        <v>2013</v>
      </c>
      <c r="D103" s="422"/>
      <c r="E103" s="422"/>
      <c r="F103" s="422"/>
      <c r="G103" s="422"/>
      <c r="H103" s="422"/>
      <c r="I103" s="422"/>
      <c r="J103" s="422">
        <v>19881.678195763179</v>
      </c>
      <c r="K103" s="79"/>
      <c r="L103" s="218"/>
    </row>
    <row r="104" spans="1:12" s="92" customFormat="1" ht="12.5">
      <c r="A104" s="218"/>
      <c r="B104" s="218"/>
      <c r="C104" s="31">
        <f t="shared" si="31"/>
        <v>2014</v>
      </c>
      <c r="D104" s="422"/>
      <c r="E104" s="422"/>
      <c r="F104" s="422"/>
      <c r="G104" s="422"/>
      <c r="H104" s="422"/>
      <c r="I104" s="422">
        <v>18132.378691847054</v>
      </c>
      <c r="J104" s="422">
        <v>19282.096151198544</v>
      </c>
      <c r="K104" s="79"/>
      <c r="L104" s="218"/>
    </row>
    <row r="105" spans="1:12" s="92" customFormat="1" ht="12.5">
      <c r="A105" s="218"/>
      <c r="B105" s="218"/>
      <c r="C105" s="31">
        <f t="shared" si="31"/>
        <v>2015</v>
      </c>
      <c r="D105" s="422"/>
      <c r="E105" s="422"/>
      <c r="F105" s="422"/>
      <c r="G105" s="422"/>
      <c r="H105" s="422">
        <v>16233.65126443671</v>
      </c>
      <c r="I105" s="422">
        <v>17712.500619092199</v>
      </c>
      <c r="J105" s="422">
        <v>18708.957968437757</v>
      </c>
      <c r="K105" s="79"/>
      <c r="L105" s="218"/>
    </row>
    <row r="106" spans="1:12" s="92" customFormat="1" ht="12.5">
      <c r="A106" s="218"/>
      <c r="B106" s="218"/>
      <c r="C106" s="31">
        <f t="shared" si="31"/>
        <v>2016</v>
      </c>
      <c r="D106" s="422"/>
      <c r="E106" s="422"/>
      <c r="F106" s="422"/>
      <c r="G106" s="422">
        <v>13517.727527305577</v>
      </c>
      <c r="H106" s="422">
        <v>15525.527029716612</v>
      </c>
      <c r="I106" s="422">
        <v>16817.007547391884</v>
      </c>
      <c r="J106" s="422">
        <v>18038.852151231116</v>
      </c>
      <c r="K106" s="79"/>
      <c r="L106" s="218"/>
    </row>
    <row r="107" spans="1:12" s="92" customFormat="1" ht="12.5">
      <c r="A107" s="218"/>
      <c r="B107" s="218"/>
      <c r="C107" s="31">
        <f t="shared" si="31"/>
        <v>2017</v>
      </c>
      <c r="D107" s="422"/>
      <c r="E107" s="422"/>
      <c r="F107" s="422">
        <v>10653.870489229881</v>
      </c>
      <c r="G107" s="422">
        <v>13477.85830597612</v>
      </c>
      <c r="H107" s="422">
        <v>15473.353316579087</v>
      </c>
      <c r="I107" s="422">
        <v>16830.754632779521</v>
      </c>
      <c r="J107" s="422"/>
      <c r="K107" s="79"/>
      <c r="L107" s="218"/>
    </row>
    <row r="108" spans="1:12" s="92" customFormat="1" ht="12.5">
      <c r="A108" s="218"/>
      <c r="B108" s="218"/>
      <c r="C108" s="31">
        <f t="shared" si="31"/>
        <v>2018</v>
      </c>
      <c r="D108" s="422"/>
      <c r="E108" s="422">
        <v>6973.5868702991611</v>
      </c>
      <c r="F108" s="422">
        <v>11109.471172128397</v>
      </c>
      <c r="G108" s="422">
        <v>14019.353589139095</v>
      </c>
      <c r="H108" s="422">
        <v>16176.666669174969</v>
      </c>
      <c r="I108" s="422"/>
      <c r="J108" s="422"/>
      <c r="K108" s="79"/>
      <c r="L108" s="218"/>
    </row>
    <row r="109" spans="1:12" s="92" customFormat="1" ht="12.5">
      <c r="A109" s="218"/>
      <c r="B109" s="218"/>
      <c r="C109" s="31">
        <f t="shared" si="31"/>
        <v>2019</v>
      </c>
      <c r="D109" s="422">
        <v>3426.4943316635909</v>
      </c>
      <c r="E109" s="422">
        <v>6734.619025758102</v>
      </c>
      <c r="F109" s="422">
        <v>10815.994766030213</v>
      </c>
      <c r="G109" s="422">
        <v>14199.709804143462</v>
      </c>
      <c r="H109" s="422"/>
      <c r="I109" s="422"/>
      <c r="J109" s="422"/>
      <c r="K109" s="79"/>
      <c r="L109" s="218"/>
    </row>
    <row r="110" spans="1:12" s="92" customFormat="1" ht="12.5">
      <c r="A110" s="218"/>
      <c r="B110" s="218"/>
      <c r="C110" s="31">
        <f t="shared" si="31"/>
        <v>2020</v>
      </c>
      <c r="D110" s="422">
        <v>2897.5627696637998</v>
      </c>
      <c r="E110" s="422">
        <v>6944.0790582617828</v>
      </c>
      <c r="F110" s="422">
        <v>11429.564218345624</v>
      </c>
      <c r="G110" s="422"/>
      <c r="H110" s="422"/>
      <c r="I110" s="422"/>
      <c r="J110" s="422"/>
      <c r="K110" s="79"/>
      <c r="L110" s="218"/>
    </row>
    <row r="111" spans="1:12" s="92" customFormat="1" ht="12.5">
      <c r="A111" s="218"/>
      <c r="B111" s="218"/>
      <c r="C111" s="31">
        <f>+C79</f>
        <v>2021</v>
      </c>
      <c r="D111" s="422">
        <v>2856.8044454058731</v>
      </c>
      <c r="E111" s="422">
        <v>6431.2512052084885</v>
      </c>
      <c r="F111" s="422"/>
      <c r="G111" s="422"/>
      <c r="H111" s="422"/>
      <c r="I111" s="422"/>
      <c r="J111" s="422"/>
      <c r="K111" s="79"/>
      <c r="L111" s="218"/>
    </row>
    <row r="112" spans="1:12" s="92" customFormat="1" ht="12.5">
      <c r="A112" s="218"/>
      <c r="B112" s="218"/>
      <c r="C112" s="31">
        <f>+C80</f>
        <v>2022</v>
      </c>
      <c r="D112" s="422">
        <v>2880.0979829988432</v>
      </c>
      <c r="E112" s="422"/>
      <c r="F112" s="422"/>
      <c r="G112" s="422"/>
      <c r="H112" s="422"/>
      <c r="I112" s="422"/>
      <c r="J112" s="422"/>
      <c r="K112" s="79"/>
      <c r="L112" s="218"/>
    </row>
    <row r="113" spans="1:12" s="92" customFormat="1" ht="12.5">
      <c r="A113" s="218"/>
      <c r="B113" s="218"/>
      <c r="C113" s="218"/>
      <c r="D113" s="79"/>
      <c r="E113" s="218"/>
      <c r="F113" s="79"/>
      <c r="G113" s="79"/>
      <c r="H113" s="79"/>
      <c r="I113" s="79"/>
      <c r="J113" s="79"/>
      <c r="K113" s="79"/>
      <c r="L113" s="218"/>
    </row>
    <row r="114" spans="1:12" s="92" customFormat="1" ht="25.5" customHeight="1">
      <c r="A114" s="46" t="s">
        <v>22</v>
      </c>
      <c r="B114" s="510" t="s">
        <v>249</v>
      </c>
      <c r="C114" s="510"/>
      <c r="D114" s="510"/>
      <c r="E114" s="510"/>
      <c r="F114" s="510"/>
      <c r="G114" s="510"/>
      <c r="H114" s="510"/>
      <c r="I114" s="510"/>
      <c r="J114" s="510"/>
      <c r="K114" s="510"/>
      <c r="L114" s="251"/>
    </row>
    <row r="115" spans="1:12" s="92" customFormat="1" ht="40" customHeight="1">
      <c r="A115" s="46" t="s">
        <v>28</v>
      </c>
      <c r="B115" s="510" t="s">
        <v>250</v>
      </c>
      <c r="C115" s="510"/>
      <c r="D115" s="510"/>
      <c r="E115" s="510"/>
      <c r="F115" s="510"/>
      <c r="G115" s="510"/>
      <c r="H115" s="510"/>
      <c r="I115" s="510"/>
      <c r="J115" s="510"/>
      <c r="K115" s="510"/>
      <c r="L115" s="251"/>
    </row>
    <row r="116" spans="1:12" s="92" customFormat="1" ht="12.5">
      <c r="A116" s="218"/>
      <c r="B116" s="218"/>
      <c r="C116" s="218"/>
      <c r="D116" s="218"/>
      <c r="E116" s="218"/>
      <c r="F116" s="218"/>
      <c r="G116" s="218"/>
      <c r="H116" s="218"/>
      <c r="I116" s="218"/>
      <c r="J116" s="218"/>
      <c r="K116" s="218"/>
      <c r="L116" s="218"/>
    </row>
    <row r="117" spans="1:12" s="92" customFormat="1" ht="12.5">
      <c r="A117" s="218"/>
      <c r="B117" s="108" t="s">
        <v>421</v>
      </c>
      <c r="C117" s="41"/>
      <c r="D117" s="41"/>
      <c r="E117" s="41"/>
      <c r="F117" s="41"/>
      <c r="G117" s="41"/>
      <c r="H117" s="41"/>
      <c r="I117" s="41"/>
      <c r="J117" s="41"/>
      <c r="K117" s="41"/>
      <c r="L117" s="41"/>
    </row>
    <row r="118" spans="1:12" ht="45" customHeight="1">
      <c r="A118" s="114"/>
      <c r="B118" s="109"/>
      <c r="C118" s="109"/>
      <c r="D118" s="109"/>
      <c r="E118" s="109"/>
      <c r="F118" s="109"/>
      <c r="G118" s="109"/>
      <c r="H118" s="109"/>
      <c r="I118" s="109"/>
      <c r="J118" s="109"/>
      <c r="K118" s="109"/>
      <c r="L118" s="46" t="s">
        <v>358</v>
      </c>
    </row>
    <row r="119" spans="1:12" s="92" customFormat="1" ht="13">
      <c r="A119" s="122" t="s">
        <v>35</v>
      </c>
      <c r="B119" s="122"/>
      <c r="C119" s="122"/>
      <c r="D119" s="122"/>
      <c r="E119" s="122"/>
      <c r="F119" s="122"/>
      <c r="G119" s="122"/>
      <c r="H119" s="122"/>
      <c r="I119" s="122"/>
      <c r="J119" s="122"/>
      <c r="K119" s="122"/>
      <c r="L119" s="122"/>
    </row>
    <row r="120" spans="1:12" s="92" customFormat="1" ht="13">
      <c r="A120" s="122" t="s">
        <v>240</v>
      </c>
      <c r="B120" s="122"/>
      <c r="C120" s="122"/>
      <c r="D120" s="122"/>
      <c r="E120" s="122"/>
      <c r="F120" s="122"/>
      <c r="G120" s="122"/>
      <c r="H120" s="122"/>
      <c r="I120" s="122"/>
      <c r="J120" s="122"/>
      <c r="K120" s="122"/>
      <c r="L120" s="122"/>
    </row>
    <row r="121" spans="1:12" s="92" customFormat="1" ht="13">
      <c r="A121" s="122" t="s">
        <v>241</v>
      </c>
      <c r="B121" s="122"/>
      <c r="C121" s="122"/>
      <c r="D121" s="122"/>
      <c r="E121" s="122"/>
      <c r="F121" s="122"/>
      <c r="G121" s="122"/>
      <c r="H121" s="122"/>
      <c r="I121" s="122"/>
      <c r="J121" s="122"/>
      <c r="K121" s="122"/>
      <c r="L121" s="122"/>
    </row>
    <row r="122" spans="1:12" s="92" customFormat="1" ht="13">
      <c r="A122" s="248"/>
      <c r="B122" s="248"/>
      <c r="C122" s="248"/>
      <c r="D122" s="248"/>
      <c r="E122" s="248"/>
      <c r="F122" s="248"/>
      <c r="G122" s="248"/>
      <c r="H122" s="248"/>
      <c r="I122" s="248"/>
      <c r="J122" s="248"/>
      <c r="K122" s="248"/>
      <c r="L122" s="248"/>
    </row>
    <row r="123" spans="1:12" s="92" customFormat="1" ht="12.5">
      <c r="A123" s="218"/>
      <c r="B123" s="218"/>
      <c r="C123" s="218"/>
      <c r="D123" s="218"/>
      <c r="E123" s="218"/>
      <c r="F123" s="218"/>
      <c r="G123" s="218"/>
      <c r="H123" s="218"/>
      <c r="I123" s="218"/>
      <c r="J123" s="218"/>
      <c r="K123" s="218"/>
      <c r="L123" s="218"/>
    </row>
    <row r="124" spans="1:12" s="92" customFormat="1" ht="12.5">
      <c r="A124" s="118"/>
      <c r="B124" s="118" t="s">
        <v>299</v>
      </c>
      <c r="C124" s="118"/>
      <c r="D124" s="118"/>
      <c r="E124" s="118"/>
      <c r="F124" s="118"/>
      <c r="G124" s="118"/>
      <c r="H124" s="118"/>
      <c r="I124" s="118"/>
      <c r="J124" s="118"/>
      <c r="K124" s="117"/>
      <c r="L124" s="218"/>
    </row>
    <row r="125" spans="1:12" s="92" customFormat="1" ht="12.5">
      <c r="A125" s="218"/>
      <c r="B125" s="218"/>
      <c r="C125" s="218"/>
      <c r="D125" s="218"/>
      <c r="E125" s="218"/>
      <c r="F125" s="218"/>
      <c r="G125" s="218"/>
      <c r="H125" s="218"/>
      <c r="I125" s="218"/>
      <c r="J125" s="218"/>
      <c r="K125" s="218"/>
      <c r="L125" s="218"/>
    </row>
    <row r="126" spans="1:12" s="92" customFormat="1" ht="12.5">
      <c r="A126" s="218"/>
      <c r="B126" s="218"/>
      <c r="C126" s="31" t="s">
        <v>192</v>
      </c>
      <c r="D126" s="509" t="s">
        <v>287</v>
      </c>
      <c r="E126" s="509"/>
      <c r="F126" s="509"/>
      <c r="G126" s="509"/>
      <c r="H126" s="509"/>
      <c r="I126" s="509"/>
      <c r="J126" s="509"/>
      <c r="K126" s="250"/>
      <c r="L126" s="218"/>
    </row>
    <row r="127" spans="1:12" s="92" customFormat="1" ht="12.5">
      <c r="A127" s="218"/>
      <c r="B127" s="218"/>
      <c r="C127" s="33" t="s">
        <v>8</v>
      </c>
      <c r="D127" s="70">
        <f t="shared" ref="D127:J127" si="32">D101</f>
        <v>12</v>
      </c>
      <c r="E127" s="70">
        <f t="shared" si="32"/>
        <v>24</v>
      </c>
      <c r="F127" s="70">
        <f t="shared" si="32"/>
        <v>36</v>
      </c>
      <c r="G127" s="70">
        <f t="shared" si="32"/>
        <v>48</v>
      </c>
      <c r="H127" s="70">
        <f t="shared" si="32"/>
        <v>60</v>
      </c>
      <c r="I127" s="70">
        <f t="shared" si="32"/>
        <v>72</v>
      </c>
      <c r="J127" s="70">
        <f t="shared" si="32"/>
        <v>84</v>
      </c>
      <c r="K127" s="70"/>
      <c r="L127" s="218"/>
    </row>
    <row r="128" spans="1:12" s="92" customFormat="1" ht="4.5" customHeight="1">
      <c r="A128" s="218"/>
      <c r="B128" s="218"/>
      <c r="C128" s="218"/>
      <c r="D128" s="218"/>
      <c r="E128" s="218"/>
      <c r="F128" s="218"/>
      <c r="G128" s="218"/>
      <c r="H128" s="218"/>
      <c r="I128" s="218"/>
      <c r="J128" s="218"/>
      <c r="K128" s="218"/>
      <c r="L128" s="218"/>
    </row>
    <row r="129" spans="1:12" s="92" customFormat="1" ht="12.5">
      <c r="A129" s="218"/>
      <c r="B129" s="218"/>
      <c r="C129" s="31">
        <f t="shared" ref="C129:C138" si="33">C103</f>
        <v>2013</v>
      </c>
      <c r="D129" s="79"/>
      <c r="E129" s="79"/>
      <c r="F129" s="79"/>
      <c r="G129" s="79"/>
      <c r="H129" s="79"/>
      <c r="I129" s="79"/>
      <c r="J129" s="443">
        <v>20373.281430479848</v>
      </c>
      <c r="K129" s="79"/>
      <c r="L129" s="218"/>
    </row>
    <row r="130" spans="1:12" s="92" customFormat="1" ht="12.5">
      <c r="A130" s="218"/>
      <c r="B130" s="218"/>
      <c r="C130" s="31">
        <f t="shared" si="33"/>
        <v>2014</v>
      </c>
      <c r="D130" s="79"/>
      <c r="E130" s="79"/>
      <c r="F130" s="79"/>
      <c r="G130" s="79"/>
      <c r="H130" s="79"/>
      <c r="I130" s="424">
        <f>+IF(I88&lt;I49,INDEX(LOGEST(H104:I104,H49:I49),2)*EXP((INDEX(LOGEST(H104:I104,H49:I49),1)-1)*I88),INDEX(LOGEST(I104:J104,I49:J49),2)*EXP((INDEX(LOGEST(I104:J104,I49:J49),1)-1)*I88))</f>
        <v>18590.438939870215</v>
      </c>
      <c r="J130" s="443">
        <v>19577.837351587899</v>
      </c>
      <c r="K130" s="79"/>
      <c r="L130" s="218"/>
    </row>
    <row r="131" spans="1:12" s="92" customFormat="1" ht="12.5">
      <c r="A131" s="218"/>
      <c r="B131" s="218"/>
      <c r="C131" s="31">
        <f t="shared" si="33"/>
        <v>2015</v>
      </c>
      <c r="D131" s="79"/>
      <c r="E131" s="79"/>
      <c r="F131" s="79"/>
      <c r="G131" s="79"/>
      <c r="H131" s="424">
        <f>+IF(H89&lt;H50,INDEX(LOGEST(G105:H105,G50:H50),2)*EXP((INDEX(LOGEST(G105:H105,G50:H50),1)-1)*H89),INDEX(LOGEST(H105:I105,H50:I50),2)*EXP((INDEX(LOGEST(H105:I105,H50:I50),1)-1)*H89))</f>
        <v>16274.266650431924</v>
      </c>
      <c r="I131" s="424">
        <f>+IF(I89&lt;I50,INDEX(LOGEST(H105:I105,H50:I50),2)*EXP((INDEX(LOGEST(H105:I105,H50:I50),1)-1)*I89),INDEX(LOGEST(I105:J105,I50:J50),2)*EXP((INDEX(LOGEST(I105:J105,I50:J50),1)-1)*I89))</f>
        <v>17906.61266774535</v>
      </c>
      <c r="J131" s="443">
        <v>18856.054458045921</v>
      </c>
      <c r="K131" s="79"/>
      <c r="L131" s="218"/>
    </row>
    <row r="132" spans="1:12" s="92" customFormat="1" ht="12.5">
      <c r="A132" s="218"/>
      <c r="B132" s="218"/>
      <c r="C132" s="31">
        <f t="shared" si="33"/>
        <v>2016</v>
      </c>
      <c r="D132" s="79"/>
      <c r="E132" s="79"/>
      <c r="F132" s="79"/>
      <c r="G132" s="443">
        <v>12919.539936727362</v>
      </c>
      <c r="H132" s="424">
        <f>+IF(H90&lt;H51,INDEX(LOGEST(G106:H106,G51:H51),2)*EXP((INDEX(LOGEST(G106:H106,G51:H51),1)-1)*H90),INDEX(LOGEST(H106:I106,H51:I51),2)*EXP((INDEX(LOGEST(H106:I106,H51:I51),1)-1)*H90))</f>
        <v>15354.929538732264</v>
      </c>
      <c r="I132" s="424">
        <f>+IF(I90&lt;I51,INDEX(LOGEST(H106:I106,H51:I51),2)*EXP((INDEX(LOGEST(H106:I106,H51:I51),1)-1)*I90),INDEX(LOGEST(I106:J106,I51:J51),2)*EXP((INDEX(LOGEST(I106:J106,I51:J51),1)-1)*I90))</f>
        <v>16878.138888359921</v>
      </c>
      <c r="J132" s="424">
        <f>J106</f>
        <v>18038.852151231116</v>
      </c>
      <c r="K132" s="79"/>
      <c r="L132" s="218"/>
    </row>
    <row r="133" spans="1:12" s="92" customFormat="1" ht="12.5">
      <c r="A133" s="218"/>
      <c r="B133" s="218"/>
      <c r="C133" s="31">
        <f t="shared" si="33"/>
        <v>2017</v>
      </c>
      <c r="D133" s="79"/>
      <c r="E133" s="79"/>
      <c r="F133" s="443">
        <v>9599.8690219904584</v>
      </c>
      <c r="G133" s="424">
        <f>+IF(G91&lt;G52,INDEX(LOGEST(F107:G107,F52:G52),2)*EXP((INDEX(LOGEST(F107:G107,F52:G52),1)-1)*G91),INDEX(LOGEST(G107:H107,G52:H52),2)*EXP((INDEX(LOGEST(G107:H107,G52:H52),1)-1)*G91))</f>
        <v>12773.423783060805</v>
      </c>
      <c r="H133" s="424">
        <f>+IF(H91&lt;H52,INDEX(LOGEST(G107:H107,G52:H52),2)*EXP((INDEX(LOGEST(G107:H107,G52:H52),1)-1)*H91),INDEX(LOGEST(H107:I107,H52:I52),2)*EXP((INDEX(LOGEST(H107:I107,H52:I52),1)-1)*H91))</f>
        <v>15270.572574648892</v>
      </c>
      <c r="I133" s="424">
        <f>I107</f>
        <v>16830.754632779521</v>
      </c>
      <c r="J133" s="79"/>
      <c r="K133" s="79"/>
      <c r="L133" s="218"/>
    </row>
    <row r="134" spans="1:12" s="92" customFormat="1" ht="12.5">
      <c r="A134" s="218"/>
      <c r="B134" s="218"/>
      <c r="C134" s="31">
        <f t="shared" si="33"/>
        <v>2018</v>
      </c>
      <c r="D134" s="79"/>
      <c r="E134" s="443">
        <v>6845.4023205422018</v>
      </c>
      <c r="F134" s="424">
        <f>+IF(F92&lt;F53,INDEX(LOGEST(E108:F108,E53:F53),2)*EXP((INDEX(LOGEST(E108:F108,E53:F53),1)-1)*F92),INDEX(LOGEST(F108:G108,F53:G53),2)*EXP((INDEX(LOGEST(F108:G108,F53:G53),1)-1)*F92))</f>
        <v>10358.921251361591</v>
      </c>
      <c r="G134" s="424">
        <f>+IF(G92&lt;G53,INDEX(LOGEST(F108:G108,F53:G53),2)*EXP((INDEX(LOGEST(F108:G108,F53:G53),1)-1)*G92),INDEX(LOGEST(G108:H108,G53:H53),2)*EXP((INDEX(LOGEST(G108:H108,G53:H53),1)-1)*G92))</f>
        <v>13667.610148297903</v>
      </c>
      <c r="H134" s="424">
        <f>H108</f>
        <v>16176.666669174969</v>
      </c>
      <c r="I134" s="79"/>
      <c r="J134" s="79"/>
      <c r="K134" s="79"/>
      <c r="L134" s="218"/>
    </row>
    <row r="135" spans="1:12" s="92" customFormat="1" ht="12.5">
      <c r="A135" s="218"/>
      <c r="B135" s="218"/>
      <c r="C135" s="31">
        <f t="shared" si="33"/>
        <v>2019</v>
      </c>
      <c r="D135" s="424">
        <f>INDEX(LOGEST(D109:E109,D54:E54),2)*EXP((INDEX(LOGEST(D109:E109,D54:E54),1)-1)*D93)</f>
        <v>3492.7140424821982</v>
      </c>
      <c r="E135" s="424">
        <f>+IF(E93&lt;E54,INDEX(LOGEST(D109:E109,D54:E54),2)*EXP((INDEX(LOGEST(D109:E109,D54:E54),1)-1)*E93),INDEX(LOGEST(E109:F109,E54:F54),2)*EXP((INDEX(LOGEST(E109:F109,E54:F54),1)-1)*E93))</f>
        <v>7089.9328044445137</v>
      </c>
      <c r="F135" s="424">
        <f>+IF(F93&lt;F54,INDEX(LOGEST(E109:F109,E54:F54),2)*EXP((INDEX(LOGEST(E109:F109,E54:F54),1)-1)*F93),INDEX(LOGEST(F109:G109,F54:G54),2)*EXP((INDEX(LOGEST(F109:G109,F54:G54),1)-1)*F93))</f>
        <v>10779.158223478593</v>
      </c>
      <c r="G135" s="424">
        <f>G109</f>
        <v>14199.709804143462</v>
      </c>
      <c r="H135" s="79"/>
      <c r="I135" s="79"/>
      <c r="J135" s="79"/>
      <c r="K135" s="79"/>
      <c r="L135" s="218"/>
    </row>
    <row r="136" spans="1:12" s="92" customFormat="1" ht="12.5">
      <c r="A136" s="218"/>
      <c r="B136" s="218"/>
      <c r="C136" s="31">
        <f t="shared" si="33"/>
        <v>2020</v>
      </c>
      <c r="D136" s="424">
        <f>INDEX(LOGEST(D110:E110,D55:E55),2)*EXP((INDEX(LOGEST(D110:E110,D55:E55),1)-1)*D94)</f>
        <v>3052.0318654562293</v>
      </c>
      <c r="E136" s="424">
        <f>+IF(E94&lt;E55,INDEX(LOGEST(D110:E110,D55:E55),2)*EXP((INDEX(LOGEST(D110:E110,D55:E55),1)-1)*E94),INDEX(LOGEST(E110:F110,E55:F55),2)*EXP((INDEX(LOGEST(E110:F110,E55:F55),1)-1)*E94))</f>
        <v>7463.6287820220623</v>
      </c>
      <c r="F136" s="424">
        <f>F110</f>
        <v>11429.564218345624</v>
      </c>
      <c r="G136" s="79"/>
      <c r="H136" s="79"/>
      <c r="I136" s="79"/>
      <c r="J136" s="79"/>
      <c r="K136" s="79"/>
      <c r="L136" s="218"/>
    </row>
    <row r="137" spans="1:12" s="92" customFormat="1" ht="12.5">
      <c r="A137" s="218"/>
      <c r="B137" s="218"/>
      <c r="C137" s="31">
        <f t="shared" si="33"/>
        <v>2021</v>
      </c>
      <c r="D137" s="424">
        <f>INDEX(LOGEST(D111:E111,D56:E56),2)*EXP((INDEX(LOGEST(D111:E111,D56:E56),1)-1)*D95)</f>
        <v>2900.6988953990262</v>
      </c>
      <c r="E137" s="424">
        <f>E111</f>
        <v>6431.2512052084885</v>
      </c>
      <c r="F137" s="79"/>
      <c r="G137" s="79"/>
      <c r="H137" s="79"/>
      <c r="I137" s="79"/>
      <c r="J137" s="79"/>
      <c r="K137" s="79"/>
      <c r="L137" s="218"/>
    </row>
    <row r="138" spans="1:12" s="92" customFormat="1" ht="12.5">
      <c r="A138" s="218"/>
      <c r="B138" s="218"/>
      <c r="C138" s="31">
        <f t="shared" si="33"/>
        <v>2022</v>
      </c>
      <c r="D138" s="424">
        <f>D112</f>
        <v>2880.0979829988432</v>
      </c>
      <c r="E138" s="79"/>
      <c r="F138" s="79"/>
      <c r="G138" s="79"/>
      <c r="H138" s="79"/>
      <c r="I138" s="79"/>
      <c r="J138" s="79"/>
      <c r="K138" s="79"/>
      <c r="L138" s="218"/>
    </row>
    <row r="139" spans="1:12" s="92" customFormat="1" ht="12.5">
      <c r="A139" s="218"/>
      <c r="B139" s="218"/>
      <c r="C139" s="218"/>
      <c r="D139" s="79"/>
      <c r="E139" s="218"/>
      <c r="F139" s="79"/>
      <c r="G139" s="79"/>
      <c r="H139" s="79"/>
      <c r="I139" s="79"/>
      <c r="J139" s="79"/>
      <c r="K139" s="79"/>
      <c r="L139" s="218"/>
    </row>
    <row r="140" spans="1:12" s="92" customFormat="1" ht="12.5">
      <c r="A140" s="118"/>
      <c r="B140" s="118" t="s">
        <v>300</v>
      </c>
      <c r="C140" s="118"/>
      <c r="D140" s="118"/>
      <c r="E140" s="118"/>
      <c r="F140" s="118"/>
      <c r="G140" s="118"/>
      <c r="H140" s="118"/>
      <c r="I140" s="118"/>
      <c r="J140" s="118"/>
      <c r="K140" s="117"/>
      <c r="L140" s="218"/>
    </row>
    <row r="141" spans="1:12" s="92" customFormat="1" ht="12.5">
      <c r="A141" s="218"/>
      <c r="B141" s="218"/>
      <c r="C141" s="218"/>
      <c r="D141" s="218"/>
      <c r="E141" s="218"/>
      <c r="F141" s="218"/>
      <c r="G141" s="218"/>
      <c r="H141" s="218"/>
      <c r="I141" s="218"/>
      <c r="J141" s="218"/>
      <c r="K141" s="218"/>
      <c r="L141" s="218"/>
    </row>
    <row r="142" spans="1:12" s="92" customFormat="1" ht="12.5">
      <c r="A142" s="218"/>
      <c r="B142" s="218"/>
      <c r="C142" s="31" t="s">
        <v>192</v>
      </c>
      <c r="D142" s="509" t="s">
        <v>287</v>
      </c>
      <c r="E142" s="509"/>
      <c r="F142" s="509"/>
      <c r="G142" s="509"/>
      <c r="H142" s="509"/>
      <c r="I142" s="509"/>
      <c r="J142" s="509"/>
      <c r="K142" s="250"/>
      <c r="L142" s="218"/>
    </row>
    <row r="143" spans="1:12" s="92" customFormat="1" ht="12.5">
      <c r="A143" s="218"/>
      <c r="B143" s="218"/>
      <c r="C143" s="33" t="s">
        <v>8</v>
      </c>
      <c r="D143" s="70">
        <f t="shared" ref="D143:J143" si="34">+D127</f>
        <v>12</v>
      </c>
      <c r="E143" s="70">
        <f t="shared" si="34"/>
        <v>24</v>
      </c>
      <c r="F143" s="70">
        <f t="shared" si="34"/>
        <v>36</v>
      </c>
      <c r="G143" s="70">
        <f t="shared" si="34"/>
        <v>48</v>
      </c>
      <c r="H143" s="70">
        <f t="shared" si="34"/>
        <v>60</v>
      </c>
      <c r="I143" s="70">
        <f t="shared" si="34"/>
        <v>72</v>
      </c>
      <c r="J143" s="70">
        <f t="shared" si="34"/>
        <v>84</v>
      </c>
      <c r="K143" s="70"/>
      <c r="L143" s="218"/>
    </row>
    <row r="144" spans="1:12" s="92" customFormat="1" ht="4.5" customHeight="1">
      <c r="A144" s="218"/>
      <c r="B144" s="218"/>
      <c r="C144" s="218"/>
      <c r="D144" s="218"/>
      <c r="E144" s="218"/>
      <c r="F144" s="218"/>
      <c r="G144" s="218"/>
      <c r="H144" s="218"/>
      <c r="I144" s="218"/>
      <c r="J144" s="218"/>
      <c r="K144" s="218"/>
      <c r="L144" s="218"/>
    </row>
    <row r="145" spans="1:12" s="92" customFormat="1" ht="12.5">
      <c r="A145" s="218"/>
      <c r="B145" s="218"/>
      <c r="C145" s="31">
        <f t="shared" ref="C145:C154" si="35">+C129</f>
        <v>2013</v>
      </c>
      <c r="D145" s="79"/>
      <c r="E145" s="79"/>
      <c r="F145" s="79"/>
      <c r="G145" s="79"/>
      <c r="H145" s="79"/>
      <c r="I145" s="79"/>
      <c r="J145" s="424">
        <f t="shared" ref="J145" si="36">J129*J87/1000</f>
        <v>2571768.0139948218</v>
      </c>
      <c r="K145" s="79"/>
      <c r="L145" s="218"/>
    </row>
    <row r="146" spans="1:12" s="92" customFormat="1" ht="12.5">
      <c r="A146" s="218"/>
      <c r="B146" s="218"/>
      <c r="C146" s="31">
        <f t="shared" si="35"/>
        <v>2014</v>
      </c>
      <c r="D146" s="79"/>
      <c r="E146" s="79"/>
      <c r="F146" s="79"/>
      <c r="G146" s="79"/>
      <c r="H146" s="79"/>
      <c r="I146" s="424">
        <f t="shared" ref="I146:J146" si="37">I130*I88/1000</f>
        <v>2387393.9048427027</v>
      </c>
      <c r="J146" s="424">
        <f t="shared" si="37"/>
        <v>2577393.8369568754</v>
      </c>
      <c r="K146" s="79"/>
      <c r="L146" s="218"/>
    </row>
    <row r="147" spans="1:12" s="92" customFormat="1" ht="12.5">
      <c r="A147" s="218"/>
      <c r="B147" s="218"/>
      <c r="C147" s="31">
        <f t="shared" si="35"/>
        <v>2015</v>
      </c>
      <c r="D147" s="79"/>
      <c r="E147" s="79"/>
      <c r="F147" s="79"/>
      <c r="G147" s="79"/>
      <c r="H147" s="424">
        <f t="shared" ref="H147:I147" si="38">H131*H89/1000</f>
        <v>2068679.9160763535</v>
      </c>
      <c r="I147" s="424">
        <f t="shared" si="38"/>
        <v>2384800.2699945443</v>
      </c>
      <c r="J147" s="424">
        <f>J131*J89/1000</f>
        <v>2574370.3757806798</v>
      </c>
      <c r="K147" s="79"/>
      <c r="L147" s="218"/>
    </row>
    <row r="148" spans="1:12" s="92" customFormat="1" ht="12.5">
      <c r="A148" s="218"/>
      <c r="B148" s="218"/>
      <c r="C148" s="31">
        <f t="shared" si="35"/>
        <v>2016</v>
      </c>
      <c r="D148" s="79"/>
      <c r="E148" s="79"/>
      <c r="F148" s="79"/>
      <c r="G148" s="424">
        <f t="shared" ref="G148:H148" si="39">G132*G90/1000</f>
        <v>1532063.5933261637</v>
      </c>
      <c r="H148" s="424">
        <f t="shared" si="39"/>
        <v>1995000.9627101466</v>
      </c>
      <c r="I148" s="424">
        <f>I132*I90/1000</f>
        <v>2297558.2986395205</v>
      </c>
      <c r="J148" s="424">
        <f t="shared" ref="J148" si="40">J132*J90/1000</f>
        <v>2517285.7400000002</v>
      </c>
      <c r="K148" s="79"/>
      <c r="L148" s="218"/>
    </row>
    <row r="149" spans="1:12" s="92" customFormat="1" ht="12.5">
      <c r="A149" s="218"/>
      <c r="B149" s="218"/>
      <c r="C149" s="31">
        <f t="shared" si="35"/>
        <v>2017</v>
      </c>
      <c r="D149" s="79"/>
      <c r="E149" s="79"/>
      <c r="F149" s="424">
        <f t="shared" ref="F149:G149" si="41">F133*F91/1000</f>
        <v>976335.47979202354</v>
      </c>
      <c r="G149" s="424">
        <f t="shared" si="41"/>
        <v>1520998.0149027135</v>
      </c>
      <c r="H149" s="424">
        <f>H133*H91/1000</f>
        <v>1992242.4314993464</v>
      </c>
      <c r="I149" s="424">
        <f t="shared" ref="I149" si="42">I133*I91/1000</f>
        <v>2300579.02</v>
      </c>
      <c r="J149" s="79"/>
      <c r="K149" s="79"/>
      <c r="L149" s="218"/>
    </row>
    <row r="150" spans="1:12" s="92" customFormat="1" ht="12.5">
      <c r="A150" s="218"/>
      <c r="B150" s="218"/>
      <c r="C150" s="31">
        <f t="shared" si="35"/>
        <v>2018</v>
      </c>
      <c r="D150" s="79"/>
      <c r="E150" s="424">
        <f t="shared" ref="E150:F151" si="43">E134*E92/1000</f>
        <v>559303.09347533819</v>
      </c>
      <c r="F150" s="424">
        <f t="shared" si="43"/>
        <v>1073149.6021585548</v>
      </c>
      <c r="G150" s="424">
        <f>G134*G92/1000</f>
        <v>1657776.130379814</v>
      </c>
      <c r="H150" s="424">
        <f t="shared" ref="H150" si="44">H134*H92/1000</f>
        <v>2149749.5869999998</v>
      </c>
      <c r="I150" s="79"/>
      <c r="J150" s="79"/>
      <c r="K150" s="79"/>
      <c r="L150" s="218"/>
    </row>
    <row r="151" spans="1:12" s="92" customFormat="1" ht="12.5">
      <c r="A151" s="218"/>
      <c r="B151" s="218"/>
      <c r="C151" s="31">
        <f t="shared" si="35"/>
        <v>2019</v>
      </c>
      <c r="D151" s="424">
        <f t="shared" ref="D151:D152" si="45">D135*D93/1000</f>
        <v>136698.89810774045</v>
      </c>
      <c r="E151" s="424">
        <f t="shared" si="43"/>
        <v>590843.41791241127</v>
      </c>
      <c r="F151" s="424">
        <f>F135*F93/1000</f>
        <v>1138970.8865934005</v>
      </c>
      <c r="G151" s="424">
        <f t="shared" ref="G151" si="46">G135*G93/1000</f>
        <v>1756688.699</v>
      </c>
      <c r="H151" s="79"/>
      <c r="I151" s="79"/>
      <c r="J151" s="79"/>
      <c r="K151" s="79"/>
      <c r="L151" s="218"/>
    </row>
    <row r="152" spans="1:12" s="92" customFormat="1" ht="12.5">
      <c r="A152" s="218"/>
      <c r="B152" s="218"/>
      <c r="C152" s="31">
        <f t="shared" si="35"/>
        <v>2020</v>
      </c>
      <c r="D152" s="424">
        <f t="shared" si="45"/>
        <v>104398.790674565</v>
      </c>
      <c r="E152" s="424">
        <f>E136*E94/1000</f>
        <v>543606.61659190198</v>
      </c>
      <c r="F152" s="424">
        <f t="shared" ref="F152" si="47">F136*F94/1000</f>
        <v>1055508.8259999999</v>
      </c>
      <c r="G152" s="79"/>
      <c r="H152" s="79"/>
      <c r="I152" s="79"/>
      <c r="J152" s="79"/>
      <c r="K152" s="79"/>
      <c r="L152" s="218"/>
    </row>
    <row r="153" spans="1:12" s="92" customFormat="1" ht="12.5">
      <c r="A153" s="218"/>
      <c r="B153" s="218"/>
      <c r="C153" s="31">
        <f t="shared" si="35"/>
        <v>2021</v>
      </c>
      <c r="D153" s="424">
        <f>D137*D95/1000</f>
        <v>109643.75559405478</v>
      </c>
      <c r="E153" s="424">
        <f t="shared" ref="E153" si="48">E137*E95/1000</f>
        <v>517612.82199999999</v>
      </c>
      <c r="F153" s="79"/>
      <c r="G153" s="79"/>
      <c r="H153" s="79"/>
      <c r="I153" s="79"/>
      <c r="J153" s="79"/>
      <c r="K153" s="79"/>
      <c r="L153" s="218"/>
    </row>
    <row r="154" spans="1:12" s="92" customFormat="1" ht="12.5">
      <c r="A154" s="218"/>
      <c r="B154" s="218"/>
      <c r="C154" s="31">
        <f t="shared" si="35"/>
        <v>2022</v>
      </c>
      <c r="D154" s="424">
        <f t="shared" ref="D154" si="49">D138*D96/1000</f>
        <v>114518.45599999999</v>
      </c>
      <c r="E154" s="79"/>
      <c r="F154" s="79"/>
      <c r="G154" s="79"/>
      <c r="H154" s="79"/>
      <c r="I154" s="79"/>
      <c r="J154" s="79"/>
      <c r="K154" s="79"/>
      <c r="L154" s="218"/>
    </row>
    <row r="155" spans="1:12" s="92" customFormat="1" ht="12.5">
      <c r="A155" s="218"/>
      <c r="B155" s="218"/>
      <c r="C155" s="31"/>
      <c r="D155" s="79"/>
      <c r="E155" s="218"/>
      <c r="F155" s="79"/>
      <c r="G155" s="79"/>
      <c r="H155" s="79"/>
      <c r="I155" s="79"/>
      <c r="J155" s="79"/>
      <c r="K155" s="79"/>
      <c r="L155" s="218"/>
    </row>
    <row r="156" spans="1:12" s="92" customFormat="1" ht="13">
      <c r="A156" s="118"/>
      <c r="B156" s="118" t="s">
        <v>267</v>
      </c>
      <c r="C156" s="118"/>
      <c r="D156" s="118"/>
      <c r="E156" s="118"/>
      <c r="F156" s="118"/>
      <c r="G156" s="118"/>
      <c r="H156" s="118"/>
      <c r="I156" s="118"/>
      <c r="J156" s="118"/>
      <c r="K156" s="117"/>
      <c r="L156" s="248"/>
    </row>
    <row r="157" spans="1:12" s="92" customFormat="1" ht="13">
      <c r="A157" s="218"/>
      <c r="B157" s="218"/>
      <c r="C157" s="218"/>
      <c r="D157" s="218"/>
      <c r="E157" s="218"/>
      <c r="F157" s="218"/>
      <c r="G157" s="218"/>
      <c r="H157" s="218"/>
      <c r="I157" s="218"/>
      <c r="J157" s="218"/>
      <c r="K157" s="218"/>
      <c r="L157" s="248"/>
    </row>
    <row r="158" spans="1:12" s="92" customFormat="1" ht="13">
      <c r="A158" s="218"/>
      <c r="B158" s="218"/>
      <c r="C158" s="31" t="s">
        <v>192</v>
      </c>
      <c r="D158" s="509" t="s">
        <v>287</v>
      </c>
      <c r="E158" s="509"/>
      <c r="F158" s="509"/>
      <c r="G158" s="509"/>
      <c r="H158" s="509"/>
      <c r="I158" s="509"/>
      <c r="J158" s="509"/>
      <c r="K158" s="250"/>
      <c r="L158" s="248"/>
    </row>
    <row r="159" spans="1:12" s="92" customFormat="1" ht="13">
      <c r="A159" s="218"/>
      <c r="B159" s="218"/>
      <c r="C159" s="33" t="s">
        <v>8</v>
      </c>
      <c r="D159" s="70">
        <f t="shared" ref="D159:J159" si="50">+D127</f>
        <v>12</v>
      </c>
      <c r="E159" s="70">
        <f t="shared" si="50"/>
        <v>24</v>
      </c>
      <c r="F159" s="70">
        <f t="shared" si="50"/>
        <v>36</v>
      </c>
      <c r="G159" s="70">
        <f t="shared" si="50"/>
        <v>48</v>
      </c>
      <c r="H159" s="70">
        <f t="shared" si="50"/>
        <v>60</v>
      </c>
      <c r="I159" s="70">
        <f t="shared" si="50"/>
        <v>72</v>
      </c>
      <c r="J159" s="70">
        <f t="shared" si="50"/>
        <v>84</v>
      </c>
      <c r="K159" s="70"/>
      <c r="L159" s="248"/>
    </row>
    <row r="160" spans="1:12" s="92" customFormat="1" ht="4.5" customHeight="1">
      <c r="A160" s="218"/>
      <c r="B160" s="218"/>
      <c r="C160" s="218"/>
      <c r="D160" s="218"/>
      <c r="E160" s="218"/>
      <c r="F160" s="218"/>
      <c r="G160" s="218"/>
      <c r="H160" s="218"/>
      <c r="I160" s="218"/>
      <c r="J160" s="218"/>
      <c r="K160" s="218"/>
      <c r="L160" s="218"/>
    </row>
    <row r="161" spans="1:12" s="92" customFormat="1" ht="13">
      <c r="A161" s="218"/>
      <c r="B161" s="218"/>
      <c r="C161" s="31">
        <f t="shared" ref="C161:C170" si="51">+C129</f>
        <v>2013</v>
      </c>
      <c r="D161" s="422"/>
      <c r="E161" s="422"/>
      <c r="F161" s="422"/>
      <c r="G161" s="422"/>
      <c r="H161" s="422"/>
      <c r="I161" s="422"/>
      <c r="J161" s="422">
        <v>463758.00688932836</v>
      </c>
      <c r="K161" s="79"/>
      <c r="L161" s="248"/>
    </row>
    <row r="162" spans="1:12" s="92" customFormat="1" ht="13">
      <c r="A162" s="218"/>
      <c r="B162" s="218"/>
      <c r="C162" s="31">
        <f t="shared" si="51"/>
        <v>2014</v>
      </c>
      <c r="D162" s="422"/>
      <c r="E162" s="422"/>
      <c r="F162" s="422"/>
      <c r="G162" s="422"/>
      <c r="H162" s="422"/>
      <c r="I162" s="422">
        <v>535684.16668956191</v>
      </c>
      <c r="J162" s="422">
        <v>444997.30099999951</v>
      </c>
      <c r="K162" s="79"/>
      <c r="L162" s="248"/>
    </row>
    <row r="163" spans="1:12" s="92" customFormat="1" ht="13">
      <c r="A163" s="218"/>
      <c r="B163" s="218"/>
      <c r="C163" s="31">
        <f t="shared" si="51"/>
        <v>2015</v>
      </c>
      <c r="D163" s="422"/>
      <c r="E163" s="422"/>
      <c r="F163" s="422"/>
      <c r="G163" s="422"/>
      <c r="H163" s="422">
        <v>622411.48598891532</v>
      </c>
      <c r="I163" s="422">
        <v>518187.02</v>
      </c>
      <c r="J163" s="422">
        <v>453376.21500000003</v>
      </c>
      <c r="K163" s="79"/>
      <c r="L163" s="248"/>
    </row>
    <row r="164" spans="1:12" s="92" customFormat="1" ht="13">
      <c r="A164" s="218"/>
      <c r="B164" s="218"/>
      <c r="C164" s="31">
        <f t="shared" si="51"/>
        <v>2016</v>
      </c>
      <c r="D164" s="422"/>
      <c r="E164" s="422"/>
      <c r="F164" s="422"/>
      <c r="G164" s="422">
        <v>742843.973</v>
      </c>
      <c r="H164" s="422">
        <v>619061.81700000004</v>
      </c>
      <c r="I164" s="422">
        <v>544718.473</v>
      </c>
      <c r="J164" s="422">
        <v>460800.37400000001</v>
      </c>
      <c r="K164" s="79"/>
      <c r="L164" s="248"/>
    </row>
    <row r="165" spans="1:12" s="92" customFormat="1" ht="13">
      <c r="A165" s="218"/>
      <c r="B165" s="218"/>
      <c r="C165" s="31">
        <f t="shared" si="51"/>
        <v>2017</v>
      </c>
      <c r="D165" s="422"/>
      <c r="E165" s="422"/>
      <c r="F165" s="422">
        <v>846491.33799999952</v>
      </c>
      <c r="G165" s="422">
        <v>740775.92599999951</v>
      </c>
      <c r="H165" s="422">
        <v>632281.31499999948</v>
      </c>
      <c r="I165" s="422">
        <v>570105.68000000005</v>
      </c>
      <c r="J165" s="422"/>
      <c r="K165" s="79"/>
      <c r="L165" s="248"/>
    </row>
    <row r="166" spans="1:12" s="92" customFormat="1" ht="13">
      <c r="A166" s="218"/>
      <c r="B166" s="218"/>
      <c r="C166" s="31">
        <f t="shared" si="51"/>
        <v>2018</v>
      </c>
      <c r="D166" s="422"/>
      <c r="E166" s="422">
        <v>876490.97100000002</v>
      </c>
      <c r="F166" s="422">
        <v>905517.62100000004</v>
      </c>
      <c r="G166" s="422">
        <v>832461.40800000005</v>
      </c>
      <c r="H166" s="422">
        <v>708201.58799999999</v>
      </c>
      <c r="I166" s="422"/>
      <c r="J166" s="422"/>
      <c r="K166" s="79"/>
      <c r="L166" s="248"/>
    </row>
    <row r="167" spans="1:12" s="92" customFormat="1" ht="13">
      <c r="A167" s="218"/>
      <c r="B167" s="218"/>
      <c r="C167" s="31">
        <f t="shared" si="51"/>
        <v>2019</v>
      </c>
      <c r="D167" s="422">
        <v>402925.152</v>
      </c>
      <c r="E167" s="422">
        <v>881368.13100000005</v>
      </c>
      <c r="F167" s="422">
        <v>993530.34900000005</v>
      </c>
      <c r="G167" s="422">
        <v>907338.826</v>
      </c>
      <c r="H167" s="422"/>
      <c r="I167" s="422"/>
      <c r="J167" s="422"/>
      <c r="K167" s="79"/>
      <c r="L167" s="248"/>
    </row>
    <row r="168" spans="1:12" s="92" customFormat="1" ht="13">
      <c r="A168" s="218"/>
      <c r="B168" s="218"/>
      <c r="C168" s="31">
        <f t="shared" si="51"/>
        <v>2020</v>
      </c>
      <c r="D168" s="422">
        <v>370138.85181000008</v>
      </c>
      <c r="E168" s="422">
        <v>826432.22699999996</v>
      </c>
      <c r="F168" s="422">
        <v>928458.00600000005</v>
      </c>
      <c r="G168" s="422"/>
      <c r="H168" s="422"/>
      <c r="I168" s="422"/>
      <c r="J168" s="422"/>
      <c r="K168" s="79"/>
      <c r="L168" s="248"/>
    </row>
    <row r="169" spans="1:12" s="92" customFormat="1" ht="13">
      <c r="A169" s="218"/>
      <c r="B169" s="218"/>
      <c r="C169" s="31">
        <f t="shared" si="51"/>
        <v>2021</v>
      </c>
      <c r="D169" s="422">
        <v>401417.74699999997</v>
      </c>
      <c r="E169" s="422">
        <v>922754.43700000003</v>
      </c>
      <c r="F169" s="422"/>
      <c r="G169" s="422"/>
      <c r="H169" s="422"/>
      <c r="I169" s="422"/>
      <c r="J169" s="422"/>
      <c r="K169" s="79"/>
      <c r="L169" s="248"/>
    </row>
    <row r="170" spans="1:12" s="92" customFormat="1" ht="13">
      <c r="A170" s="218"/>
      <c r="B170" s="218"/>
      <c r="C170" s="31">
        <f t="shared" si="51"/>
        <v>2022</v>
      </c>
      <c r="D170" s="422">
        <v>418871.96299999999</v>
      </c>
      <c r="E170" s="422"/>
      <c r="F170" s="422"/>
      <c r="G170" s="422"/>
      <c r="H170" s="422"/>
      <c r="I170" s="422"/>
      <c r="J170" s="422"/>
      <c r="K170" s="79"/>
      <c r="L170" s="248"/>
    </row>
    <row r="171" spans="1:12" s="92" customFormat="1" ht="12.5">
      <c r="A171" s="218"/>
      <c r="B171" s="218"/>
      <c r="C171" s="31"/>
      <c r="D171" s="79"/>
      <c r="E171" s="218"/>
      <c r="F171" s="79"/>
      <c r="G171" s="79"/>
      <c r="H171" s="79"/>
      <c r="I171" s="79"/>
      <c r="J171" s="79"/>
      <c r="K171" s="79"/>
      <c r="L171" s="218"/>
    </row>
    <row r="172" spans="1:12" s="92" customFormat="1" ht="24.75" customHeight="1">
      <c r="A172" s="46" t="s">
        <v>38</v>
      </c>
      <c r="B172" s="510" t="s">
        <v>252</v>
      </c>
      <c r="C172" s="510"/>
      <c r="D172" s="510"/>
      <c r="E172" s="510"/>
      <c r="F172" s="510"/>
      <c r="G172" s="510"/>
      <c r="H172" s="510"/>
      <c r="I172" s="510"/>
      <c r="J172" s="510"/>
      <c r="K172" s="510"/>
      <c r="L172" s="251"/>
    </row>
    <row r="173" spans="1:12" s="92" customFormat="1" ht="26.25" customHeight="1">
      <c r="A173" s="46" t="s">
        <v>57</v>
      </c>
      <c r="B173" s="510" t="s">
        <v>268</v>
      </c>
      <c r="C173" s="510"/>
      <c r="D173" s="510"/>
      <c r="E173" s="510"/>
      <c r="F173" s="510"/>
      <c r="G173" s="510"/>
      <c r="H173" s="510"/>
      <c r="I173" s="510"/>
      <c r="J173" s="510"/>
      <c r="K173" s="510"/>
      <c r="L173" s="251"/>
    </row>
    <row r="174" spans="1:12" s="92" customFormat="1" ht="12.5">
      <c r="A174" s="218"/>
      <c r="B174" s="513"/>
      <c r="C174" s="513"/>
      <c r="D174" s="513"/>
      <c r="E174" s="513"/>
      <c r="F174" s="513"/>
      <c r="G174" s="513"/>
      <c r="H174" s="513"/>
      <c r="I174" s="513"/>
      <c r="J174" s="513"/>
      <c r="K174" s="218"/>
      <c r="L174" s="218"/>
    </row>
    <row r="175" spans="1:12" s="92" customFormat="1" ht="12.5">
      <c r="A175" s="218"/>
      <c r="B175" s="108" t="s">
        <v>421</v>
      </c>
      <c r="C175" s="41"/>
      <c r="D175" s="41"/>
      <c r="E175" s="41"/>
      <c r="F175" s="41"/>
      <c r="G175" s="41"/>
      <c r="H175" s="41"/>
      <c r="I175" s="41"/>
      <c r="J175" s="41"/>
      <c r="K175" s="218"/>
      <c r="L175" s="218"/>
    </row>
    <row r="176" spans="1:12" ht="45" customHeight="1">
      <c r="A176" s="108"/>
      <c r="B176" s="108"/>
      <c r="C176" s="250"/>
      <c r="D176" s="107"/>
      <c r="E176" s="107"/>
      <c r="F176" s="72"/>
      <c r="G176" s="72"/>
      <c r="H176" s="72"/>
      <c r="I176" s="72"/>
      <c r="J176" s="108"/>
      <c r="K176" s="108"/>
      <c r="L176" s="46" t="s">
        <v>359</v>
      </c>
    </row>
    <row r="177" spans="1:12" s="92" customFormat="1" ht="13">
      <c r="A177" s="122" t="s">
        <v>35</v>
      </c>
      <c r="B177" s="122"/>
      <c r="C177" s="122"/>
      <c r="D177" s="122"/>
      <c r="E177" s="122"/>
      <c r="F177" s="122"/>
      <c r="G177" s="122"/>
      <c r="H177" s="122"/>
      <c r="I177" s="122"/>
      <c r="J177" s="122"/>
      <c r="K177" s="122"/>
      <c r="L177" s="122"/>
    </row>
    <row r="178" spans="1:12" s="92" customFormat="1" ht="13">
      <c r="A178" s="122" t="s">
        <v>240</v>
      </c>
      <c r="B178" s="122"/>
      <c r="C178" s="122"/>
      <c r="D178" s="122"/>
      <c r="E178" s="122"/>
      <c r="F178" s="122"/>
      <c r="G178" s="122"/>
      <c r="H178" s="122"/>
      <c r="I178" s="122"/>
      <c r="J178" s="122"/>
      <c r="K178" s="122"/>
      <c r="L178" s="122"/>
    </row>
    <row r="179" spans="1:12" s="92" customFormat="1" ht="13">
      <c r="A179" s="122" t="s">
        <v>241</v>
      </c>
      <c r="B179" s="122"/>
      <c r="C179" s="122"/>
      <c r="D179" s="122"/>
      <c r="E179" s="122"/>
      <c r="F179" s="122"/>
      <c r="G179" s="122"/>
      <c r="H179" s="122"/>
      <c r="I179" s="122"/>
      <c r="J179" s="122"/>
      <c r="K179" s="122"/>
      <c r="L179" s="122"/>
    </row>
    <row r="180" spans="1:12" s="92" customFormat="1" ht="13">
      <c r="A180" s="248"/>
      <c r="B180" s="248"/>
      <c r="C180" s="248"/>
      <c r="D180" s="248"/>
      <c r="E180" s="248"/>
      <c r="F180" s="248"/>
      <c r="G180" s="248"/>
      <c r="H180" s="248"/>
      <c r="I180" s="248"/>
      <c r="J180" s="248"/>
      <c r="K180" s="248"/>
      <c r="L180" s="248"/>
    </row>
    <row r="181" spans="1:12" s="92" customFormat="1" ht="13">
      <c r="A181" s="248"/>
      <c r="B181" s="248"/>
      <c r="C181" s="248"/>
      <c r="D181" s="248"/>
      <c r="E181" s="248"/>
      <c r="F181" s="248"/>
      <c r="G181" s="248"/>
      <c r="H181" s="248"/>
      <c r="I181" s="248"/>
      <c r="J181" s="248"/>
      <c r="K181" s="248"/>
      <c r="L181" s="248"/>
    </row>
    <row r="182" spans="1:12" s="92" customFormat="1" ht="12.5">
      <c r="A182" s="118"/>
      <c r="B182" s="118" t="s">
        <v>301</v>
      </c>
      <c r="C182" s="118"/>
      <c r="D182" s="118"/>
      <c r="E182" s="118"/>
      <c r="F182" s="118"/>
      <c r="G182" s="118"/>
      <c r="H182" s="118"/>
      <c r="I182" s="118"/>
      <c r="J182" s="118"/>
      <c r="K182" s="118"/>
      <c r="L182" s="118"/>
    </row>
    <row r="183" spans="1:12" s="92" customFormat="1" ht="12.5">
      <c r="A183" s="218"/>
      <c r="B183" s="218"/>
      <c r="C183" s="218"/>
      <c r="D183" s="218"/>
      <c r="E183" s="218"/>
      <c r="F183" s="218"/>
      <c r="G183" s="218"/>
      <c r="H183" s="218"/>
      <c r="I183" s="218"/>
      <c r="J183" s="218"/>
      <c r="K183" s="218"/>
      <c r="L183" s="218"/>
    </row>
    <row r="184" spans="1:12" s="92" customFormat="1" ht="12.5">
      <c r="A184" s="218"/>
      <c r="B184" s="218"/>
      <c r="C184" s="31" t="s">
        <v>192</v>
      </c>
      <c r="D184" s="509" t="s">
        <v>287</v>
      </c>
      <c r="E184" s="509"/>
      <c r="F184" s="509"/>
      <c r="G184" s="509"/>
      <c r="H184" s="509"/>
      <c r="I184" s="509"/>
      <c r="J184" s="509"/>
      <c r="K184" s="250"/>
      <c r="L184" s="218"/>
    </row>
    <row r="185" spans="1:12" s="92" customFormat="1" ht="12.5">
      <c r="A185" s="218"/>
      <c r="B185" s="218"/>
      <c r="C185" s="33" t="s">
        <v>8</v>
      </c>
      <c r="D185" s="70">
        <f t="shared" ref="D185:J185" si="52">D159</f>
        <v>12</v>
      </c>
      <c r="E185" s="70">
        <f t="shared" si="52"/>
        <v>24</v>
      </c>
      <c r="F185" s="70">
        <f t="shared" si="52"/>
        <v>36</v>
      </c>
      <c r="G185" s="70">
        <f t="shared" si="52"/>
        <v>48</v>
      </c>
      <c r="H185" s="70">
        <f t="shared" si="52"/>
        <v>60</v>
      </c>
      <c r="I185" s="70">
        <f t="shared" si="52"/>
        <v>72</v>
      </c>
      <c r="J185" s="70">
        <f t="shared" si="52"/>
        <v>84</v>
      </c>
      <c r="K185" s="70"/>
      <c r="L185" s="218"/>
    </row>
    <row r="186" spans="1:12" s="92" customFormat="1" ht="4.5" customHeight="1">
      <c r="A186" s="218"/>
      <c r="B186" s="218"/>
      <c r="C186" s="218"/>
      <c r="D186" s="218"/>
      <c r="E186" s="218"/>
      <c r="F186" s="218"/>
      <c r="G186" s="218"/>
      <c r="H186" s="218"/>
      <c r="I186" s="218"/>
      <c r="J186" s="218"/>
      <c r="K186" s="218"/>
      <c r="L186" s="218"/>
    </row>
    <row r="187" spans="1:12" s="92" customFormat="1" ht="12.5">
      <c r="A187" s="218"/>
      <c r="B187" s="218"/>
      <c r="C187" s="31">
        <f t="shared" ref="C187:C196" si="53">C161</f>
        <v>2013</v>
      </c>
      <c r="D187" s="419"/>
      <c r="E187" s="419"/>
      <c r="F187" s="419"/>
      <c r="G187" s="419"/>
      <c r="H187" s="419"/>
      <c r="I187" s="419"/>
      <c r="J187" s="419">
        <v>50543.88198569126</v>
      </c>
      <c r="K187" s="125"/>
      <c r="L187" s="218"/>
    </row>
    <row r="188" spans="1:12" s="92" customFormat="1" ht="12.5">
      <c r="A188" s="218"/>
      <c r="B188" s="218"/>
      <c r="C188" s="31">
        <f t="shared" si="53"/>
        <v>2014</v>
      </c>
      <c r="D188" s="419"/>
      <c r="E188" s="419"/>
      <c r="F188" s="419"/>
      <c r="G188" s="419"/>
      <c r="H188" s="419"/>
      <c r="I188" s="419">
        <v>41210.96692729176</v>
      </c>
      <c r="J188" s="419">
        <v>48718.776111232706</v>
      </c>
      <c r="K188" s="125"/>
      <c r="L188" s="218"/>
    </row>
    <row r="189" spans="1:12" s="92" customFormat="1" ht="12.5">
      <c r="A189" s="218"/>
      <c r="B189" s="218"/>
      <c r="C189" s="31">
        <f t="shared" si="53"/>
        <v>2015</v>
      </c>
      <c r="D189" s="419"/>
      <c r="E189" s="419"/>
      <c r="F189" s="419"/>
      <c r="G189" s="419"/>
      <c r="H189" s="419">
        <v>35166.361880959965</v>
      </c>
      <c r="I189" s="419">
        <v>41256.928343949046</v>
      </c>
      <c r="J189" s="419">
        <v>50476.087174348701</v>
      </c>
      <c r="K189" s="125"/>
      <c r="L189" s="218"/>
    </row>
    <row r="190" spans="1:12" s="92" customFormat="1" ht="12.5">
      <c r="A190" s="218"/>
      <c r="B190" s="218"/>
      <c r="C190" s="31">
        <f t="shared" si="53"/>
        <v>2016</v>
      </c>
      <c r="D190" s="419"/>
      <c r="E190" s="419"/>
      <c r="F190" s="419"/>
      <c r="G190" s="419">
        <v>28649.156272899072</v>
      </c>
      <c r="H190" s="419">
        <v>35350.720477386967</v>
      </c>
      <c r="I190" s="419">
        <v>44110.330634059435</v>
      </c>
      <c r="J190" s="419">
        <v>52626.812928277752</v>
      </c>
      <c r="K190" s="125"/>
      <c r="L190" s="218"/>
    </row>
    <row r="191" spans="1:12" s="92" customFormat="1" ht="12.5">
      <c r="A191" s="218"/>
      <c r="B191" s="218"/>
      <c r="C191" s="31">
        <f t="shared" si="53"/>
        <v>2017</v>
      </c>
      <c r="D191" s="419"/>
      <c r="E191" s="419"/>
      <c r="F191" s="419">
        <v>21365.792624750731</v>
      </c>
      <c r="G191" s="419">
        <v>28584.832182133898</v>
      </c>
      <c r="H191" s="419">
        <v>36215.207915688159</v>
      </c>
      <c r="I191" s="419">
        <v>46676.410676273132</v>
      </c>
      <c r="J191" s="419"/>
      <c r="K191" s="125"/>
      <c r="L191" s="218"/>
    </row>
    <row r="192" spans="1:12" s="92" customFormat="1" ht="12.5">
      <c r="A192" s="218"/>
      <c r="B192" s="218"/>
      <c r="C192" s="31">
        <f t="shared" si="53"/>
        <v>2018</v>
      </c>
      <c r="D192" s="419"/>
      <c r="E192" s="419">
        <v>13654.634226515034</v>
      </c>
      <c r="F192" s="419">
        <v>21033.602494715571</v>
      </c>
      <c r="G192" s="419">
        <v>29507.351765206295</v>
      </c>
      <c r="H192" s="419">
        <v>37979.38478039363</v>
      </c>
      <c r="I192" s="419"/>
      <c r="J192" s="419"/>
      <c r="K192" s="125"/>
      <c r="L192" s="218"/>
    </row>
    <row r="193" spans="1:12" s="92" customFormat="1" ht="12.5">
      <c r="A193" s="218"/>
      <c r="B193" s="218"/>
      <c r="C193" s="31">
        <f t="shared" si="53"/>
        <v>2019</v>
      </c>
      <c r="D193" s="419">
        <v>4790.5117407174012</v>
      </c>
      <c r="E193" s="419">
        <v>12856.740492757423</v>
      </c>
      <c r="F193" s="419">
        <v>20975.601676307888</v>
      </c>
      <c r="G193" s="419">
        <v>29722.502243915224</v>
      </c>
      <c r="H193" s="419"/>
      <c r="I193" s="419"/>
      <c r="J193" s="419"/>
      <c r="K193" s="125"/>
      <c r="L193" s="218"/>
    </row>
    <row r="194" spans="1:12" s="92" customFormat="1" ht="12.5">
      <c r="A194" s="218"/>
      <c r="B194" s="218"/>
      <c r="C194" s="31">
        <f t="shared" si="53"/>
        <v>2020</v>
      </c>
      <c r="D194" s="419">
        <v>4955.2700520777562</v>
      </c>
      <c r="E194" s="419">
        <v>13514.173090445274</v>
      </c>
      <c r="F194" s="419">
        <v>22341.795750415091</v>
      </c>
      <c r="G194" s="419"/>
      <c r="H194" s="419"/>
      <c r="I194" s="419"/>
      <c r="J194" s="419"/>
      <c r="K194" s="125"/>
      <c r="L194" s="218"/>
    </row>
    <row r="195" spans="1:12" s="92" customFormat="1" ht="12.5">
      <c r="A195" s="218"/>
      <c r="B195" s="218"/>
      <c r="C195" s="31">
        <f t="shared" si="53"/>
        <v>2021</v>
      </c>
      <c r="D195" s="419">
        <v>4965.0304518299545</v>
      </c>
      <c r="E195" s="419">
        <v>14434.728232643994</v>
      </c>
      <c r="F195" s="419"/>
      <c r="G195" s="419"/>
      <c r="H195" s="419"/>
      <c r="I195" s="419"/>
      <c r="J195" s="419"/>
      <c r="K195" s="125"/>
      <c r="L195" s="218"/>
    </row>
    <row r="196" spans="1:12" s="92" customFormat="1" ht="12.5">
      <c r="A196" s="218"/>
      <c r="B196" s="218"/>
      <c r="C196" s="31">
        <f t="shared" si="53"/>
        <v>2022</v>
      </c>
      <c r="D196" s="419">
        <v>4975.4354896184732</v>
      </c>
      <c r="E196" s="419"/>
      <c r="F196" s="419"/>
      <c r="G196" s="419"/>
      <c r="H196" s="419"/>
      <c r="I196" s="419"/>
      <c r="J196" s="419"/>
      <c r="K196" s="125"/>
      <c r="L196" s="218"/>
    </row>
    <row r="197" spans="1:12" s="92" customFormat="1" ht="12.5">
      <c r="A197" s="218"/>
      <c r="B197" s="218"/>
      <c r="C197" s="218"/>
      <c r="D197" s="125"/>
      <c r="E197" s="218"/>
      <c r="F197" s="125"/>
      <c r="G197" s="125"/>
      <c r="H197" s="125"/>
      <c r="I197" s="125"/>
      <c r="J197" s="125"/>
      <c r="K197" s="125"/>
      <c r="L197" s="218"/>
    </row>
    <row r="198" spans="1:12" s="92" customFormat="1" ht="12.5">
      <c r="A198" s="118"/>
      <c r="B198" s="118" t="s">
        <v>269</v>
      </c>
      <c r="C198" s="118"/>
      <c r="D198" s="118"/>
      <c r="E198" s="118"/>
      <c r="F198" s="118"/>
      <c r="G198" s="118"/>
      <c r="H198" s="118"/>
      <c r="I198" s="118"/>
      <c r="J198" s="118"/>
      <c r="K198" s="118"/>
      <c r="L198" s="118"/>
    </row>
    <row r="199" spans="1:12" s="92" customFormat="1" ht="12.5">
      <c r="A199" s="41"/>
      <c r="B199" s="41" t="s">
        <v>302</v>
      </c>
      <c r="C199" s="118"/>
      <c r="D199" s="118"/>
      <c r="E199" s="118"/>
      <c r="F199" s="118"/>
      <c r="G199" s="118"/>
      <c r="H199" s="118"/>
      <c r="I199" s="118"/>
      <c r="J199" s="118"/>
      <c r="K199" s="118"/>
      <c r="L199" s="118"/>
    </row>
    <row r="200" spans="1:12" s="92" customFormat="1" ht="12.5">
      <c r="A200" s="218"/>
      <c r="B200" s="218"/>
      <c r="C200" s="218"/>
      <c r="D200" s="218"/>
      <c r="E200" s="218"/>
      <c r="F200" s="218"/>
      <c r="G200" s="218"/>
      <c r="H200" s="218"/>
      <c r="I200" s="218"/>
      <c r="J200" s="218"/>
      <c r="K200" s="218"/>
      <c r="L200" s="218"/>
    </row>
    <row r="201" spans="1:12" s="92" customFormat="1" ht="12.5">
      <c r="A201" s="218"/>
      <c r="B201" s="218"/>
      <c r="C201" s="31" t="s">
        <v>192</v>
      </c>
      <c r="D201" s="509" t="s">
        <v>287</v>
      </c>
      <c r="E201" s="509"/>
      <c r="F201" s="509"/>
      <c r="G201" s="509"/>
      <c r="H201" s="509"/>
      <c r="I201" s="509"/>
      <c r="J201" s="509"/>
      <c r="K201" s="250"/>
      <c r="L201" s="218"/>
    </row>
    <row r="202" spans="1:12" s="92" customFormat="1" ht="12.5">
      <c r="A202" s="218"/>
      <c r="B202" s="218"/>
      <c r="C202" s="33" t="s">
        <v>8</v>
      </c>
      <c r="D202" s="70">
        <f t="shared" ref="D202:J202" si="54">+D185</f>
        <v>12</v>
      </c>
      <c r="E202" s="70">
        <f t="shared" si="54"/>
        <v>24</v>
      </c>
      <c r="F202" s="70">
        <f t="shared" si="54"/>
        <v>36</v>
      </c>
      <c r="G202" s="70">
        <f t="shared" si="54"/>
        <v>48</v>
      </c>
      <c r="H202" s="70">
        <f t="shared" si="54"/>
        <v>60</v>
      </c>
      <c r="I202" s="70">
        <f t="shared" si="54"/>
        <v>72</v>
      </c>
      <c r="J202" s="70">
        <f t="shared" si="54"/>
        <v>84</v>
      </c>
      <c r="K202" s="70"/>
      <c r="L202" s="218"/>
    </row>
    <row r="203" spans="1:12" s="92" customFormat="1" ht="4.5" customHeight="1">
      <c r="A203" s="218"/>
      <c r="B203" s="218"/>
      <c r="C203" s="218"/>
      <c r="D203" s="218"/>
      <c r="E203" s="218"/>
      <c r="F203" s="218"/>
      <c r="G203" s="218"/>
      <c r="H203" s="218"/>
      <c r="I203" s="218"/>
      <c r="J203" s="218"/>
      <c r="K203" s="218"/>
      <c r="L203" s="218"/>
    </row>
    <row r="204" spans="1:12" s="92" customFormat="1" ht="12.5">
      <c r="A204" s="218"/>
      <c r="B204" s="218"/>
      <c r="C204" s="31">
        <f t="shared" ref="C204:C212" si="55">+C187</f>
        <v>2013</v>
      </c>
      <c r="D204" s="419"/>
      <c r="E204" s="419"/>
      <c r="F204" s="419"/>
      <c r="G204" s="419"/>
      <c r="H204" s="419"/>
      <c r="I204" s="419"/>
      <c r="J204" s="419">
        <v>-71519.593009753138</v>
      </c>
      <c r="K204" s="125"/>
      <c r="L204" s="218"/>
    </row>
    <row r="205" spans="1:12" s="92" customFormat="1" ht="12.5">
      <c r="A205" s="218"/>
      <c r="B205" s="218"/>
      <c r="C205" s="31">
        <f t="shared" si="55"/>
        <v>2014</v>
      </c>
      <c r="D205" s="419"/>
      <c r="E205" s="419"/>
      <c r="F205" s="419"/>
      <c r="G205" s="419"/>
      <c r="H205" s="419"/>
      <c r="I205" s="419">
        <v>-65278.171612830163</v>
      </c>
      <c r="J205" s="419">
        <v>-44187.929932888059</v>
      </c>
      <c r="K205" s="125"/>
      <c r="L205" s="218"/>
    </row>
    <row r="206" spans="1:12" s="92" customFormat="1" ht="12.5">
      <c r="A206" s="218"/>
      <c r="B206" s="218"/>
      <c r="C206" s="31">
        <f t="shared" si="55"/>
        <v>2015</v>
      </c>
      <c r="D206" s="419"/>
      <c r="E206" s="419"/>
      <c r="F206" s="419"/>
      <c r="G206" s="419"/>
      <c r="H206" s="419">
        <v>-5485.9524534297552</v>
      </c>
      <c r="I206" s="419">
        <v>-30035.043834394903</v>
      </c>
      <c r="J206" s="419">
        <v>-20998.052264529062</v>
      </c>
      <c r="K206" s="125"/>
      <c r="L206" s="218"/>
    </row>
    <row r="207" spans="1:12" s="92" customFormat="1" ht="12.5">
      <c r="A207" s="218"/>
      <c r="B207" s="218"/>
      <c r="C207" s="31">
        <f t="shared" si="55"/>
        <v>2016</v>
      </c>
      <c r="D207" s="419"/>
      <c r="E207" s="419"/>
      <c r="F207" s="419"/>
      <c r="G207" s="419">
        <v>86318.056112152452</v>
      </c>
      <c r="H207" s="419">
        <v>25354.503301515677</v>
      </c>
      <c r="I207" s="419">
        <v>-8160.4111673009947</v>
      </c>
      <c r="J207" s="419"/>
      <c r="K207" s="125"/>
      <c r="L207" s="218"/>
    </row>
    <row r="208" spans="1:12" s="92" customFormat="1" ht="12.5">
      <c r="A208" s="218"/>
      <c r="B208" s="218"/>
      <c r="C208" s="31">
        <f t="shared" si="55"/>
        <v>2017</v>
      </c>
      <c r="D208" s="419"/>
      <c r="E208" s="419"/>
      <c r="F208" s="419">
        <v>116929.92988266057</v>
      </c>
      <c r="G208" s="419">
        <v>96260.017705376973</v>
      </c>
      <c r="H208" s="419">
        <v>30264.19107283427</v>
      </c>
      <c r="I208" s="419"/>
      <c r="J208" s="419"/>
      <c r="K208" s="125"/>
      <c r="L208" s="218"/>
    </row>
    <row r="209" spans="1:12" s="92" customFormat="1" ht="12.5">
      <c r="A209" s="218"/>
      <c r="B209" s="218"/>
      <c r="C209" s="31">
        <f t="shared" si="55"/>
        <v>2018</v>
      </c>
      <c r="D209" s="419"/>
      <c r="E209" s="419">
        <v>10139.549514502152</v>
      </c>
      <c r="F209" s="419">
        <v>75680.810200459586</v>
      </c>
      <c r="G209" s="419">
        <v>48180.972114561802</v>
      </c>
      <c r="H209" s="419"/>
      <c r="I209" s="419"/>
      <c r="J209" s="419"/>
      <c r="K209" s="125"/>
      <c r="L209" s="218"/>
    </row>
    <row r="210" spans="1:12" s="92" customFormat="1" ht="12.5">
      <c r="A210" s="218"/>
      <c r="B210" s="218"/>
      <c r="C210" s="31">
        <f t="shared" si="55"/>
        <v>2019</v>
      </c>
      <c r="D210" s="419">
        <v>-5786.93818278662</v>
      </c>
      <c r="E210" s="419">
        <v>-35227.468950155329</v>
      </c>
      <c r="F210" s="419">
        <v>3529.175265261912</v>
      </c>
      <c r="G210" s="419"/>
      <c r="H210" s="419"/>
      <c r="I210" s="419"/>
      <c r="J210" s="419"/>
      <c r="K210" s="125"/>
      <c r="L210" s="218"/>
    </row>
    <row r="211" spans="1:12" s="92" customFormat="1" ht="12.5">
      <c r="A211" s="218"/>
      <c r="B211" s="218"/>
      <c r="C211" s="31">
        <f t="shared" si="55"/>
        <v>2020</v>
      </c>
      <c r="D211" s="419">
        <v>-11055.207486185474</v>
      </c>
      <c r="E211" s="419">
        <v>-44637.313717740748</v>
      </c>
      <c r="F211" s="419"/>
      <c r="G211" s="419"/>
      <c r="H211" s="419"/>
      <c r="I211" s="419"/>
      <c r="J211" s="419"/>
      <c r="K211" s="125"/>
      <c r="L211" s="218"/>
    </row>
    <row r="212" spans="1:12" s="92" customFormat="1" ht="12.5">
      <c r="A212" s="218"/>
      <c r="B212" s="218"/>
      <c r="C212" s="31">
        <f t="shared" si="55"/>
        <v>2021</v>
      </c>
      <c r="D212" s="419">
        <v>-4056.4298791450728</v>
      </c>
      <c r="E212" s="419"/>
      <c r="F212" s="419"/>
      <c r="G212" s="419"/>
      <c r="H212" s="419"/>
      <c r="I212" s="419"/>
      <c r="J212" s="419"/>
      <c r="K212" s="125"/>
      <c r="L212" s="218"/>
    </row>
    <row r="213" spans="1:12" s="92" customFormat="1" ht="12.5">
      <c r="A213" s="218"/>
      <c r="B213" s="218"/>
      <c r="C213" s="31"/>
      <c r="D213" s="125"/>
      <c r="E213" s="218"/>
      <c r="F213" s="125"/>
      <c r="G213" s="125"/>
      <c r="H213" s="125"/>
      <c r="I213" s="125"/>
      <c r="J213" s="125"/>
      <c r="K213" s="125"/>
      <c r="L213" s="218"/>
    </row>
    <row r="214" spans="1:12" s="92" customFormat="1" ht="12.5">
      <c r="A214" s="118"/>
      <c r="B214" s="118" t="s">
        <v>303</v>
      </c>
      <c r="C214" s="118"/>
      <c r="D214" s="118"/>
      <c r="E214" s="118"/>
      <c r="F214" s="118"/>
      <c r="G214" s="118"/>
      <c r="H214" s="118"/>
      <c r="I214" s="118"/>
      <c r="J214" s="118"/>
      <c r="K214" s="117"/>
      <c r="L214" s="218"/>
    </row>
    <row r="215" spans="1:12" s="92" customFormat="1" ht="12.5">
      <c r="A215" s="218"/>
      <c r="B215" s="218"/>
      <c r="C215" s="218"/>
      <c r="D215" s="218"/>
      <c r="E215" s="218"/>
      <c r="F215" s="218"/>
      <c r="G215" s="218"/>
      <c r="H215" s="218"/>
      <c r="I215" s="218"/>
      <c r="J215" s="218"/>
      <c r="K215" s="218"/>
      <c r="L215" s="218"/>
    </row>
    <row r="216" spans="1:12" s="92" customFormat="1" ht="12.5">
      <c r="A216" s="218"/>
      <c r="B216" s="218"/>
      <c r="C216" s="31" t="s">
        <v>192</v>
      </c>
      <c r="D216" s="509" t="s">
        <v>287</v>
      </c>
      <c r="E216" s="509"/>
      <c r="F216" s="509"/>
      <c r="G216" s="509"/>
      <c r="H216" s="509"/>
      <c r="I216" s="509"/>
      <c r="J216" s="509"/>
      <c r="K216" s="250"/>
      <c r="L216" s="218"/>
    </row>
    <row r="217" spans="1:12" s="92" customFormat="1" ht="12.5">
      <c r="A217" s="218"/>
      <c r="B217" s="218"/>
      <c r="C217" s="33" t="s">
        <v>8</v>
      </c>
      <c r="D217" s="70">
        <f t="shared" ref="D217:J217" si="56">+D185</f>
        <v>12</v>
      </c>
      <c r="E217" s="70">
        <f t="shared" si="56"/>
        <v>24</v>
      </c>
      <c r="F217" s="70">
        <f t="shared" si="56"/>
        <v>36</v>
      </c>
      <c r="G217" s="70">
        <f t="shared" si="56"/>
        <v>48</v>
      </c>
      <c r="H217" s="70">
        <f t="shared" si="56"/>
        <v>60</v>
      </c>
      <c r="I217" s="70">
        <f t="shared" si="56"/>
        <v>72</v>
      </c>
      <c r="J217" s="70">
        <f t="shared" si="56"/>
        <v>84</v>
      </c>
      <c r="K217" s="70"/>
      <c r="L217" s="218"/>
    </row>
    <row r="218" spans="1:12" s="92" customFormat="1" ht="4.5" customHeight="1">
      <c r="A218" s="218"/>
      <c r="B218" s="218"/>
      <c r="C218" s="218"/>
      <c r="D218" s="218"/>
      <c r="E218" s="218"/>
      <c r="F218" s="218"/>
      <c r="G218" s="218"/>
      <c r="H218" s="218"/>
      <c r="I218" s="218"/>
      <c r="J218" s="218"/>
      <c r="K218" s="218"/>
      <c r="L218" s="218"/>
    </row>
    <row r="219" spans="1:12" s="92" customFormat="1" ht="12.5">
      <c r="A219" s="218"/>
      <c r="B219" s="218"/>
      <c r="C219" s="31">
        <f t="shared" ref="C219:C228" si="57">+C187</f>
        <v>2013</v>
      </c>
      <c r="D219" s="419"/>
      <c r="E219" s="419"/>
      <c r="F219" s="419"/>
      <c r="G219" s="419"/>
      <c r="H219" s="419"/>
      <c r="I219" s="419"/>
      <c r="J219" s="419">
        <v>392238.41387957521</v>
      </c>
      <c r="K219" s="125"/>
      <c r="L219" s="218"/>
    </row>
    <row r="220" spans="1:12" s="92" customFormat="1" ht="12.5">
      <c r="A220" s="218"/>
      <c r="B220" s="218"/>
      <c r="C220" s="31">
        <f t="shared" si="57"/>
        <v>2014</v>
      </c>
      <c r="D220" s="419"/>
      <c r="E220" s="419"/>
      <c r="F220" s="419"/>
      <c r="G220" s="419"/>
      <c r="H220" s="419"/>
      <c r="I220" s="419">
        <v>470405.99507673178</v>
      </c>
      <c r="J220" s="419">
        <v>400809.37106711144</v>
      </c>
      <c r="K220" s="125"/>
      <c r="L220" s="218"/>
    </row>
    <row r="221" spans="1:12" s="92" customFormat="1" ht="12.5">
      <c r="A221" s="218"/>
      <c r="B221" s="218"/>
      <c r="C221" s="31">
        <f t="shared" si="57"/>
        <v>2015</v>
      </c>
      <c r="D221" s="419"/>
      <c r="E221" s="419"/>
      <c r="F221" s="419"/>
      <c r="G221" s="419"/>
      <c r="H221" s="419">
        <v>616925.53353548551</v>
      </c>
      <c r="I221" s="419">
        <v>488151.97616560513</v>
      </c>
      <c r="J221" s="419">
        <v>432378.16273547098</v>
      </c>
      <c r="K221" s="125"/>
      <c r="L221" s="218"/>
    </row>
    <row r="222" spans="1:12" s="92" customFormat="1" ht="12.5">
      <c r="A222" s="218"/>
      <c r="B222" s="218"/>
      <c r="C222" s="31">
        <f t="shared" si="57"/>
        <v>2016</v>
      </c>
      <c r="D222" s="419"/>
      <c r="E222" s="419"/>
      <c r="F222" s="419"/>
      <c r="G222" s="419">
        <v>829162.02911215241</v>
      </c>
      <c r="H222" s="419">
        <v>644416.32030151575</v>
      </c>
      <c r="I222" s="419">
        <v>536558.06183269899</v>
      </c>
      <c r="J222" s="419">
        <v>460800.37400000001</v>
      </c>
      <c r="K222" s="125"/>
      <c r="L222" s="218"/>
    </row>
    <row r="223" spans="1:12" s="92" customFormat="1" ht="12.5">
      <c r="A223" s="218"/>
      <c r="B223" s="218"/>
      <c r="C223" s="31">
        <f t="shared" si="57"/>
        <v>2017</v>
      </c>
      <c r="D223" s="419"/>
      <c r="E223" s="419"/>
      <c r="F223" s="419">
        <v>963421.26788266003</v>
      </c>
      <c r="G223" s="419">
        <v>837035.94370537647</v>
      </c>
      <c r="H223" s="419">
        <v>662545.50607283378</v>
      </c>
      <c r="I223" s="419">
        <v>570105.68000000005</v>
      </c>
      <c r="J223" s="419"/>
      <c r="K223" s="125"/>
      <c r="L223" s="218"/>
    </row>
    <row r="224" spans="1:12" s="92" customFormat="1" ht="12.5">
      <c r="A224" s="218"/>
      <c r="B224" s="218"/>
      <c r="C224" s="31">
        <f t="shared" si="57"/>
        <v>2018</v>
      </c>
      <c r="D224" s="419"/>
      <c r="E224" s="419">
        <v>886630.52051450219</v>
      </c>
      <c r="F224" s="419">
        <v>981198.4312004596</v>
      </c>
      <c r="G224" s="419">
        <v>880642.38011456188</v>
      </c>
      <c r="H224" s="419">
        <v>708201.58799999999</v>
      </c>
      <c r="I224" s="419"/>
      <c r="J224" s="419"/>
      <c r="K224" s="125"/>
      <c r="L224" s="218"/>
    </row>
    <row r="225" spans="1:12" s="92" customFormat="1" ht="12.5">
      <c r="A225" s="218"/>
      <c r="B225" s="218"/>
      <c r="C225" s="31">
        <f t="shared" si="57"/>
        <v>2019</v>
      </c>
      <c r="D225" s="419">
        <v>397138.21381721337</v>
      </c>
      <c r="E225" s="419">
        <v>846140.66204984474</v>
      </c>
      <c r="F225" s="419">
        <v>997059.52426526195</v>
      </c>
      <c r="G225" s="419">
        <v>907338.826</v>
      </c>
      <c r="H225" s="419"/>
      <c r="I225" s="419"/>
      <c r="J225" s="419"/>
      <c r="K225" s="125"/>
      <c r="L225" s="218"/>
    </row>
    <row r="226" spans="1:12" s="92" customFormat="1" ht="12.5">
      <c r="A226" s="218"/>
      <c r="B226" s="218"/>
      <c r="C226" s="31">
        <f t="shared" si="57"/>
        <v>2020</v>
      </c>
      <c r="D226" s="419">
        <v>359083.6443238146</v>
      </c>
      <c r="E226" s="419">
        <v>781794.91328225925</v>
      </c>
      <c r="F226" s="419">
        <v>928458.00600000005</v>
      </c>
      <c r="G226" s="419"/>
      <c r="H226" s="419"/>
      <c r="I226" s="419"/>
      <c r="J226" s="419"/>
      <c r="K226" s="125"/>
      <c r="L226" s="218"/>
    </row>
    <row r="227" spans="1:12" s="92" customFormat="1" ht="12.5">
      <c r="A227" s="218"/>
      <c r="B227" s="218"/>
      <c r="C227" s="31">
        <f t="shared" si="57"/>
        <v>2021</v>
      </c>
      <c r="D227" s="419">
        <v>397361.31712085492</v>
      </c>
      <c r="E227" s="419">
        <v>922754.43700000003</v>
      </c>
      <c r="F227" s="419"/>
      <c r="G227" s="419"/>
      <c r="H227" s="419"/>
      <c r="I227" s="419"/>
      <c r="J227" s="419"/>
      <c r="K227" s="125"/>
      <c r="L227" s="218"/>
    </row>
    <row r="228" spans="1:12" s="92" customFormat="1" ht="12.5">
      <c r="A228" s="218"/>
      <c r="B228" s="218"/>
      <c r="C228" s="31">
        <f t="shared" si="57"/>
        <v>2022</v>
      </c>
      <c r="D228" s="419">
        <v>418871.96299999999</v>
      </c>
      <c r="E228" s="419"/>
      <c r="F228" s="419"/>
      <c r="G228" s="419"/>
      <c r="H228" s="419"/>
      <c r="I228" s="419"/>
      <c r="J228" s="419"/>
      <c r="K228" s="125"/>
      <c r="L228" s="218"/>
    </row>
    <row r="229" spans="1:12" s="92" customFormat="1" ht="12.5">
      <c r="A229" s="218"/>
      <c r="B229" s="218"/>
      <c r="C229" s="31"/>
      <c r="D229" s="125"/>
      <c r="E229" s="218"/>
      <c r="F229" s="125"/>
      <c r="G229" s="125"/>
      <c r="H229" s="125"/>
      <c r="I229" s="125"/>
      <c r="J229" s="125"/>
      <c r="K229" s="125"/>
      <c r="L229" s="218"/>
    </row>
    <row r="230" spans="1:12" s="92" customFormat="1" ht="64.5" customHeight="1">
      <c r="A230" s="46" t="s">
        <v>41</v>
      </c>
      <c r="B230" s="510" t="s">
        <v>270</v>
      </c>
      <c r="C230" s="510"/>
      <c r="D230" s="510"/>
      <c r="E230" s="510"/>
      <c r="F230" s="510"/>
      <c r="G230" s="510"/>
      <c r="H230" s="510"/>
      <c r="I230" s="510"/>
      <c r="J230" s="510"/>
      <c r="K230" s="510"/>
      <c r="L230" s="251"/>
    </row>
    <row r="231" spans="1:12" s="92" customFormat="1" ht="38.25" customHeight="1">
      <c r="A231" s="46" t="s">
        <v>76</v>
      </c>
      <c r="B231" s="510" t="s">
        <v>271</v>
      </c>
      <c r="C231" s="510"/>
      <c r="D231" s="510"/>
      <c r="E231" s="510"/>
      <c r="F231" s="510"/>
      <c r="G231" s="510"/>
      <c r="H231" s="510"/>
      <c r="I231" s="510"/>
      <c r="J231" s="510"/>
      <c r="K231" s="510"/>
      <c r="L231" s="251"/>
    </row>
    <row r="232" spans="1:12" s="92" customFormat="1" ht="39" customHeight="1">
      <c r="A232" s="46" t="s">
        <v>165</v>
      </c>
      <c r="B232" s="510" t="s">
        <v>272</v>
      </c>
      <c r="C232" s="510"/>
      <c r="D232" s="510"/>
      <c r="E232" s="510"/>
      <c r="F232" s="510"/>
      <c r="G232" s="510"/>
      <c r="H232" s="510"/>
      <c r="I232" s="510"/>
      <c r="J232" s="510"/>
      <c r="K232" s="510"/>
      <c r="L232" s="251"/>
    </row>
    <row r="233" spans="1:12" s="92" customFormat="1" ht="12.5">
      <c r="A233" s="218"/>
      <c r="B233" s="218"/>
      <c r="C233" s="218"/>
      <c r="D233" s="218"/>
      <c r="E233" s="218"/>
      <c r="F233" s="218"/>
      <c r="G233" s="218"/>
      <c r="H233" s="218"/>
      <c r="I233" s="218"/>
      <c r="J233" s="218"/>
      <c r="K233" s="218"/>
      <c r="L233" s="218"/>
    </row>
    <row r="234" spans="1:12" s="92" customFormat="1" ht="12.5">
      <c r="A234" s="218"/>
      <c r="B234" s="108" t="s">
        <v>421</v>
      </c>
      <c r="C234" s="41"/>
      <c r="D234" s="41"/>
      <c r="E234" s="41"/>
      <c r="F234" s="41"/>
      <c r="G234" s="41"/>
      <c r="H234" s="41"/>
      <c r="I234" s="41"/>
      <c r="J234" s="41"/>
      <c r="K234" s="41"/>
      <c r="L234" s="41"/>
    </row>
    <row r="235" spans="1:12" ht="45" customHeight="1">
      <c r="A235" s="108"/>
      <c r="B235" s="108"/>
      <c r="C235" s="250"/>
      <c r="D235" s="88"/>
      <c r="E235" s="88"/>
      <c r="F235" s="88"/>
      <c r="G235" s="88"/>
      <c r="H235" s="88"/>
      <c r="I235" s="108"/>
      <c r="L235" s="46" t="s">
        <v>360</v>
      </c>
    </row>
    <row r="236" spans="1:12" s="92" customFormat="1" ht="13">
      <c r="A236" s="122" t="s">
        <v>35</v>
      </c>
      <c r="B236" s="122"/>
      <c r="C236" s="122"/>
      <c r="D236" s="122"/>
      <c r="E236" s="122"/>
      <c r="F236" s="122"/>
      <c r="G236" s="122"/>
      <c r="H236" s="122"/>
      <c r="I236" s="122"/>
      <c r="J236" s="122"/>
      <c r="K236" s="122"/>
      <c r="L236" s="30"/>
    </row>
    <row r="237" spans="1:12" s="92" customFormat="1" ht="13">
      <c r="A237" s="122" t="s">
        <v>240</v>
      </c>
      <c r="B237" s="122"/>
      <c r="C237" s="122"/>
      <c r="D237" s="122"/>
      <c r="E237" s="122"/>
      <c r="F237" s="122"/>
      <c r="G237" s="122"/>
      <c r="H237" s="122"/>
      <c r="I237" s="122"/>
      <c r="J237" s="122"/>
      <c r="K237" s="122"/>
      <c r="L237" s="30"/>
    </row>
    <row r="238" spans="1:12" s="92" customFormat="1" ht="13">
      <c r="A238" s="122" t="s">
        <v>241</v>
      </c>
      <c r="B238" s="122"/>
      <c r="C238" s="122"/>
      <c r="D238" s="122"/>
      <c r="E238" s="122"/>
      <c r="F238" s="122"/>
      <c r="G238" s="122"/>
      <c r="H238" s="122"/>
      <c r="I238" s="122"/>
      <c r="J238" s="122"/>
      <c r="K238" s="122"/>
      <c r="L238" s="30"/>
    </row>
    <row r="239" spans="1:12" s="92" customFormat="1" ht="13">
      <c r="A239" s="248"/>
      <c r="B239" s="248"/>
      <c r="C239" s="248"/>
      <c r="D239" s="248"/>
      <c r="E239" s="248"/>
      <c r="F239" s="248"/>
      <c r="G239" s="248"/>
      <c r="H239" s="248"/>
      <c r="I239" s="248"/>
      <c r="J239" s="218"/>
      <c r="K239" s="218"/>
      <c r="L239" s="218"/>
    </row>
    <row r="240" spans="1:12" s="92" customFormat="1" ht="13">
      <c r="A240" s="248"/>
      <c r="B240" s="248"/>
      <c r="C240" s="248"/>
      <c r="D240" s="248"/>
      <c r="E240" s="248"/>
      <c r="F240" s="248"/>
      <c r="G240" s="248"/>
      <c r="H240" s="248"/>
      <c r="I240" s="248"/>
      <c r="J240" s="218"/>
      <c r="K240" s="218"/>
      <c r="L240" s="218"/>
    </row>
    <row r="241" spans="1:12" s="92" customFormat="1" ht="12.5">
      <c r="A241" s="118"/>
      <c r="B241" s="118" t="s">
        <v>273</v>
      </c>
      <c r="C241" s="118"/>
      <c r="D241" s="118"/>
      <c r="E241" s="118"/>
      <c r="F241" s="118"/>
      <c r="G241" s="118"/>
      <c r="H241" s="118"/>
      <c r="I241" s="118"/>
      <c r="J241" s="118"/>
      <c r="K241" s="117"/>
      <c r="L241" s="218"/>
    </row>
    <row r="242" spans="1:12" s="92" customFormat="1" ht="12.5">
      <c r="A242" s="218"/>
      <c r="B242" s="218"/>
      <c r="C242" s="218"/>
      <c r="D242" s="218"/>
      <c r="E242" s="218"/>
      <c r="F242" s="218"/>
      <c r="G242" s="218"/>
      <c r="H242" s="218"/>
      <c r="I242" s="218"/>
      <c r="J242" s="218"/>
      <c r="K242" s="218"/>
      <c r="L242" s="218"/>
    </row>
    <row r="243" spans="1:12" s="92" customFormat="1" ht="12.5">
      <c r="A243" s="218"/>
      <c r="B243" s="218"/>
      <c r="C243" s="31" t="s">
        <v>192</v>
      </c>
      <c r="D243" s="509" t="s">
        <v>287</v>
      </c>
      <c r="E243" s="509"/>
      <c r="F243" s="509"/>
      <c r="G243" s="509"/>
      <c r="H243" s="509"/>
      <c r="I243" s="509"/>
      <c r="J243" s="509"/>
      <c r="K243" s="250"/>
      <c r="L243" s="218"/>
    </row>
    <row r="244" spans="1:12" s="92" customFormat="1" ht="12.5">
      <c r="A244" s="218"/>
      <c r="B244" s="218"/>
      <c r="C244" s="33" t="s">
        <v>8</v>
      </c>
      <c r="D244" s="70">
        <f t="shared" ref="D244:J244" si="58">D217</f>
        <v>12</v>
      </c>
      <c r="E244" s="70">
        <f t="shared" si="58"/>
        <v>24</v>
      </c>
      <c r="F244" s="70">
        <f t="shared" si="58"/>
        <v>36</v>
      </c>
      <c r="G244" s="70">
        <f t="shared" si="58"/>
        <v>48</v>
      </c>
      <c r="H244" s="70">
        <f t="shared" si="58"/>
        <v>60</v>
      </c>
      <c r="I244" s="70">
        <f t="shared" si="58"/>
        <v>72</v>
      </c>
      <c r="J244" s="70">
        <f t="shared" si="58"/>
        <v>84</v>
      </c>
      <c r="K244" s="70"/>
      <c r="L244" s="218"/>
    </row>
    <row r="245" spans="1:12" s="92" customFormat="1" ht="4.5" customHeight="1">
      <c r="A245" s="218"/>
      <c r="B245" s="218"/>
      <c r="C245" s="218"/>
      <c r="D245" s="218"/>
      <c r="E245" s="218"/>
      <c r="F245" s="218"/>
      <c r="G245" s="218"/>
      <c r="H245" s="218"/>
      <c r="I245" s="218"/>
      <c r="J245" s="218"/>
      <c r="K245" s="218"/>
      <c r="L245" s="218"/>
    </row>
    <row r="246" spans="1:12" s="92" customFormat="1" ht="12.5">
      <c r="A246" s="218"/>
      <c r="B246" s="218"/>
      <c r="C246" s="31">
        <f t="shared" ref="C246:C255" si="59">C219</f>
        <v>2013</v>
      </c>
      <c r="D246" s="419"/>
      <c r="E246" s="419" t="s">
        <v>34</v>
      </c>
      <c r="F246" s="419" t="s">
        <v>34</v>
      </c>
      <c r="G246" s="419"/>
      <c r="H246" s="419"/>
      <c r="I246" s="419"/>
      <c r="J246" s="419">
        <v>233496.70780280983</v>
      </c>
      <c r="K246" s="125"/>
      <c r="L246" s="218"/>
    </row>
    <row r="247" spans="1:12" s="92" customFormat="1" ht="12.5">
      <c r="A247" s="218"/>
      <c r="B247" s="218"/>
      <c r="C247" s="31">
        <f t="shared" si="59"/>
        <v>2014</v>
      </c>
      <c r="D247" s="419"/>
      <c r="E247" s="419" t="s">
        <v>34</v>
      </c>
      <c r="F247" s="419"/>
      <c r="G247" s="419"/>
      <c r="H247" s="419"/>
      <c r="I247" s="419">
        <v>251798.0253943748</v>
      </c>
      <c r="J247" s="419">
        <v>253939.519</v>
      </c>
      <c r="K247" s="125"/>
      <c r="L247" s="218"/>
    </row>
    <row r="248" spans="1:12" s="92" customFormat="1" ht="12.5">
      <c r="A248" s="218"/>
      <c r="B248" s="218"/>
      <c r="C248" s="31">
        <f t="shared" si="59"/>
        <v>2015</v>
      </c>
      <c r="D248" s="419"/>
      <c r="E248" s="419"/>
      <c r="F248" s="419"/>
      <c r="G248" s="419"/>
      <c r="H248" s="419">
        <v>261299.33592554679</v>
      </c>
      <c r="I248" s="419">
        <v>264444.05</v>
      </c>
      <c r="J248" s="419">
        <v>266887.17099999997</v>
      </c>
      <c r="K248" s="125"/>
      <c r="L248" s="218"/>
    </row>
    <row r="249" spans="1:12" s="92" customFormat="1" ht="12.5">
      <c r="A249" s="218"/>
      <c r="B249" s="218"/>
      <c r="C249" s="31">
        <f t="shared" si="59"/>
        <v>2016</v>
      </c>
      <c r="D249" s="419"/>
      <c r="E249" s="419"/>
      <c r="F249" s="419"/>
      <c r="G249" s="419">
        <v>274270.95600000001</v>
      </c>
      <c r="H249" s="419">
        <v>279100.87800000003</v>
      </c>
      <c r="I249" s="419">
        <v>283612.40299999999</v>
      </c>
      <c r="J249" s="419">
        <v>287118.64</v>
      </c>
      <c r="K249" s="125"/>
      <c r="L249" s="218"/>
    </row>
    <row r="250" spans="1:12" s="92" customFormat="1" ht="12.5">
      <c r="A250" s="218"/>
      <c r="B250" s="218"/>
      <c r="C250" s="31">
        <f t="shared" si="59"/>
        <v>2017</v>
      </c>
      <c r="D250" s="419"/>
      <c r="E250" s="419"/>
      <c r="F250" s="419">
        <v>285339.36900000001</v>
      </c>
      <c r="G250" s="419">
        <v>292093.87599999999</v>
      </c>
      <c r="H250" s="419">
        <v>297353.13799999998</v>
      </c>
      <c r="I250" s="419">
        <v>301126.136</v>
      </c>
      <c r="J250" s="419"/>
      <c r="K250" s="79"/>
      <c r="L250" s="218"/>
    </row>
    <row r="251" spans="1:12" s="92" customFormat="1" ht="12.5">
      <c r="A251" s="218"/>
      <c r="B251" s="218"/>
      <c r="C251" s="31">
        <f t="shared" si="59"/>
        <v>2018</v>
      </c>
      <c r="D251" s="419"/>
      <c r="E251" s="419">
        <v>289488.01500000001</v>
      </c>
      <c r="F251" s="419">
        <v>303956.989</v>
      </c>
      <c r="G251" s="419">
        <v>316684.78600000002</v>
      </c>
      <c r="H251" s="419">
        <v>321245.78600000002</v>
      </c>
      <c r="I251" s="419"/>
      <c r="J251" s="419"/>
      <c r="K251" s="79"/>
      <c r="L251" s="218"/>
    </row>
    <row r="252" spans="1:12" s="92" customFormat="1" ht="12.5">
      <c r="A252" s="218"/>
      <c r="B252" s="218"/>
      <c r="C252" s="31">
        <f t="shared" si="59"/>
        <v>2019</v>
      </c>
      <c r="D252" s="419">
        <v>197444.54699999999</v>
      </c>
      <c r="E252" s="419">
        <v>289934.02500000002</v>
      </c>
      <c r="F252" s="419">
        <v>309273.04599999997</v>
      </c>
      <c r="G252" s="419">
        <v>319948.56300000002</v>
      </c>
      <c r="H252" s="419"/>
      <c r="I252" s="419"/>
      <c r="J252" s="419"/>
      <c r="K252" s="79"/>
      <c r="L252" s="218"/>
    </row>
    <row r="253" spans="1:12" s="92" customFormat="1" ht="12.5">
      <c r="A253" s="218"/>
      <c r="B253" s="218"/>
      <c r="C253" s="31">
        <f t="shared" si="59"/>
        <v>2020</v>
      </c>
      <c r="D253" s="419">
        <v>157023.32295999999</v>
      </c>
      <c r="E253" s="419">
        <v>236236.39399999997</v>
      </c>
      <c r="F253" s="419">
        <v>251970.557</v>
      </c>
      <c r="G253" s="419"/>
      <c r="H253" s="419"/>
      <c r="I253" s="419"/>
      <c r="J253" s="419"/>
      <c r="K253" s="79"/>
      <c r="L253" s="218"/>
    </row>
    <row r="254" spans="1:12" s="92" customFormat="1" ht="12.5">
      <c r="A254" s="218"/>
      <c r="B254" s="218"/>
      <c r="C254" s="31">
        <f t="shared" si="59"/>
        <v>2021</v>
      </c>
      <c r="D254" s="419">
        <v>174236.429</v>
      </c>
      <c r="E254" s="419">
        <v>264776.73499999999</v>
      </c>
      <c r="F254" s="419"/>
      <c r="G254" s="419"/>
      <c r="H254" s="419"/>
      <c r="I254" s="419"/>
      <c r="J254" s="419"/>
      <c r="K254" s="79"/>
      <c r="L254" s="218"/>
    </row>
    <row r="255" spans="1:12" s="92" customFormat="1" ht="12.5">
      <c r="A255" s="218"/>
      <c r="B255" s="218"/>
      <c r="C255" s="31">
        <f t="shared" si="59"/>
        <v>2022</v>
      </c>
      <c r="D255" s="419">
        <v>176382.63699999999</v>
      </c>
      <c r="E255" s="419"/>
      <c r="F255" s="419"/>
      <c r="G255" s="419"/>
      <c r="H255" s="419"/>
      <c r="I255" s="419"/>
      <c r="J255" s="419"/>
      <c r="K255" s="79"/>
      <c r="L255" s="218"/>
    </row>
    <row r="256" spans="1:12" s="92" customFormat="1" ht="12.5">
      <c r="A256" s="218"/>
      <c r="B256" s="218"/>
      <c r="C256" s="218"/>
      <c r="D256" s="79"/>
      <c r="E256" s="218"/>
      <c r="F256" s="79"/>
      <c r="G256" s="79"/>
      <c r="H256" s="79"/>
      <c r="I256" s="79"/>
      <c r="J256" s="79"/>
      <c r="K256" s="79"/>
      <c r="L256" s="218"/>
    </row>
    <row r="257" spans="1:12" s="92" customFormat="1" ht="12.5">
      <c r="A257" s="118"/>
      <c r="B257" s="118" t="s">
        <v>304</v>
      </c>
      <c r="C257" s="118"/>
      <c r="D257" s="118"/>
      <c r="E257" s="118"/>
      <c r="F257" s="118"/>
      <c r="G257" s="118"/>
      <c r="H257" s="118"/>
      <c r="I257" s="118"/>
      <c r="J257" s="118"/>
      <c r="K257" s="117"/>
      <c r="L257" s="218"/>
    </row>
    <row r="258" spans="1:12" s="92" customFormat="1" ht="12.5">
      <c r="A258" s="218"/>
      <c r="B258" s="218"/>
      <c r="C258" s="218"/>
      <c r="D258" s="218"/>
      <c r="E258" s="218"/>
      <c r="F258" s="218"/>
      <c r="G258" s="218"/>
      <c r="H258" s="218"/>
      <c r="I258" s="218"/>
      <c r="J258" s="218"/>
      <c r="K258" s="218"/>
      <c r="L258" s="218"/>
    </row>
    <row r="259" spans="1:12" s="92" customFormat="1" ht="12.5">
      <c r="A259" s="218"/>
      <c r="B259" s="218"/>
      <c r="C259" s="31" t="s">
        <v>192</v>
      </c>
      <c r="D259" s="509" t="s">
        <v>287</v>
      </c>
      <c r="E259" s="509"/>
      <c r="F259" s="509"/>
      <c r="G259" s="509"/>
      <c r="H259" s="509"/>
      <c r="I259" s="509"/>
      <c r="J259" s="509"/>
      <c r="K259" s="250"/>
      <c r="L259" s="218"/>
    </row>
    <row r="260" spans="1:12" s="92" customFormat="1" ht="12.5">
      <c r="A260" s="218"/>
      <c r="B260" s="218"/>
      <c r="C260" s="33" t="s">
        <v>8</v>
      </c>
      <c r="D260" s="70">
        <f t="shared" ref="D260:J260" si="60">+D244</f>
        <v>12</v>
      </c>
      <c r="E260" s="70">
        <f t="shared" si="60"/>
        <v>24</v>
      </c>
      <c r="F260" s="70">
        <f t="shared" si="60"/>
        <v>36</v>
      </c>
      <c r="G260" s="70">
        <f t="shared" si="60"/>
        <v>48</v>
      </c>
      <c r="H260" s="70">
        <f t="shared" si="60"/>
        <v>60</v>
      </c>
      <c r="I260" s="70">
        <f t="shared" si="60"/>
        <v>72</v>
      </c>
      <c r="J260" s="70">
        <f t="shared" si="60"/>
        <v>84</v>
      </c>
      <c r="K260" s="70"/>
      <c r="L260" s="218"/>
    </row>
    <row r="261" spans="1:12" s="92" customFormat="1" ht="4.5" customHeight="1">
      <c r="A261" s="218"/>
      <c r="B261" s="218"/>
      <c r="C261" s="218"/>
      <c r="D261" s="218"/>
      <c r="E261" s="218"/>
      <c r="F261" s="218"/>
      <c r="G261" s="218"/>
      <c r="H261" s="218"/>
      <c r="I261" s="218"/>
      <c r="J261" s="218"/>
      <c r="K261" s="218"/>
      <c r="L261" s="218"/>
    </row>
    <row r="262" spans="1:12" s="92" customFormat="1" ht="12.5">
      <c r="A262" s="218"/>
      <c r="B262" s="218"/>
      <c r="C262" s="31">
        <f t="shared" ref="C262:C271" si="61">+C246</f>
        <v>2013</v>
      </c>
      <c r="D262" s="125"/>
      <c r="E262" s="125"/>
      <c r="F262" s="125"/>
      <c r="G262" s="125"/>
      <c r="H262" s="419"/>
      <c r="I262" s="419"/>
      <c r="J262" s="419">
        <v>3197503.1356772068</v>
      </c>
      <c r="K262" s="125"/>
      <c r="L262" s="218"/>
    </row>
    <row r="263" spans="1:12" s="92" customFormat="1" ht="12.5">
      <c r="A263" s="218"/>
      <c r="B263" s="218"/>
      <c r="C263" s="31">
        <f t="shared" si="61"/>
        <v>2014</v>
      </c>
      <c r="D263" s="125"/>
      <c r="E263" s="125"/>
      <c r="F263" s="125"/>
      <c r="G263" s="125"/>
      <c r="H263" s="419"/>
      <c r="I263" s="419">
        <v>3109597.925313809</v>
      </c>
      <c r="J263" s="419">
        <v>3232142.7270239871</v>
      </c>
      <c r="K263" s="125"/>
      <c r="L263" s="218"/>
    </row>
    <row r="264" spans="1:12" s="92" customFormat="1" ht="12.5">
      <c r="A264" s="218"/>
      <c r="B264" s="218"/>
      <c r="C264" s="31">
        <f t="shared" si="61"/>
        <v>2015</v>
      </c>
      <c r="D264" s="125"/>
      <c r="E264" s="125"/>
      <c r="F264" s="125"/>
      <c r="G264" s="125"/>
      <c r="H264" s="419">
        <v>2946904.7855373858</v>
      </c>
      <c r="I264" s="419">
        <v>3137396.2961601494</v>
      </c>
      <c r="J264" s="419">
        <v>3273635.7095161509</v>
      </c>
      <c r="K264" s="125"/>
      <c r="L264" s="218"/>
    </row>
    <row r="265" spans="1:12" s="92" customFormat="1" ht="12.5">
      <c r="A265" s="218"/>
      <c r="B265" s="218"/>
      <c r="C265" s="31">
        <f t="shared" si="61"/>
        <v>2016</v>
      </c>
      <c r="D265" s="125"/>
      <c r="E265" s="125"/>
      <c r="F265" s="125"/>
      <c r="G265" s="423">
        <f t="shared" ref="G265:H265" si="62">G249+G222+G148</f>
        <v>2635496.5784383165</v>
      </c>
      <c r="H265" s="423">
        <f t="shared" si="62"/>
        <v>2918518.1610116623</v>
      </c>
      <c r="I265" s="423">
        <f t="shared" ref="I265:J265" si="63">I249+I222+I148</f>
        <v>3117728.7634722195</v>
      </c>
      <c r="J265" s="423">
        <f t="shared" si="63"/>
        <v>3265204.7540000002</v>
      </c>
      <c r="K265" s="125"/>
      <c r="L265" s="218"/>
    </row>
    <row r="266" spans="1:12" s="92" customFormat="1" ht="12.5">
      <c r="A266" s="218"/>
      <c r="B266" s="218"/>
      <c r="C266" s="31">
        <f t="shared" si="61"/>
        <v>2017</v>
      </c>
      <c r="D266" s="125"/>
      <c r="E266" s="125"/>
      <c r="F266" s="423">
        <f t="shared" ref="F266:G266" si="64">F250+F223+F149</f>
        <v>2225096.1166746835</v>
      </c>
      <c r="G266" s="423">
        <f t="shared" si="64"/>
        <v>2650127.8346080901</v>
      </c>
      <c r="H266" s="423">
        <f t="shared" ref="H266:I266" si="65">H250+H223+H149</f>
        <v>2952141.0755721801</v>
      </c>
      <c r="I266" s="423">
        <f t="shared" si="65"/>
        <v>3171810.8360000001</v>
      </c>
      <c r="J266" s="125"/>
      <c r="K266" s="125"/>
      <c r="L266" s="218"/>
    </row>
    <row r="267" spans="1:12" s="92" customFormat="1" ht="12.5">
      <c r="A267" s="218"/>
      <c r="B267" s="218"/>
      <c r="C267" s="31">
        <f t="shared" si="61"/>
        <v>2018</v>
      </c>
      <c r="D267" s="125"/>
      <c r="E267" s="423">
        <f t="shared" ref="D267:E270" si="66">E251+E224+E150</f>
        <v>1735421.6289898404</v>
      </c>
      <c r="F267" s="423">
        <f t="shared" ref="F267:G267" si="67">F251+F224+F150</f>
        <v>2358305.0223590145</v>
      </c>
      <c r="G267" s="423">
        <f t="shared" si="67"/>
        <v>2855103.2964943759</v>
      </c>
      <c r="H267" s="423">
        <f t="shared" ref="H267" si="68">H251+H224+H150</f>
        <v>3179196.9610000001</v>
      </c>
      <c r="I267" s="125"/>
      <c r="J267" s="125"/>
      <c r="K267" s="125"/>
      <c r="L267" s="218"/>
    </row>
    <row r="268" spans="1:12" s="92" customFormat="1" ht="12.5">
      <c r="A268" s="218"/>
      <c r="B268" s="218"/>
      <c r="C268" s="31">
        <f t="shared" si="61"/>
        <v>2019</v>
      </c>
      <c r="D268" s="423">
        <f t="shared" si="66"/>
        <v>731281.65892495378</v>
      </c>
      <c r="E268" s="423">
        <f t="shared" si="66"/>
        <v>1726918.104962256</v>
      </c>
      <c r="F268" s="423">
        <f t="shared" ref="F268" si="69">F252+F225+F151</f>
        <v>2445303.4568586624</v>
      </c>
      <c r="G268" s="423">
        <f>G252+G225+G151</f>
        <v>2983976.088</v>
      </c>
      <c r="H268" s="125"/>
      <c r="I268" s="125"/>
      <c r="J268" s="125"/>
      <c r="K268" s="125"/>
      <c r="L268" s="218"/>
    </row>
    <row r="269" spans="1:12" s="92" customFormat="1" ht="12.5">
      <c r="A269" s="218"/>
      <c r="B269" s="218"/>
      <c r="C269" s="31">
        <f t="shared" si="61"/>
        <v>2020</v>
      </c>
      <c r="D269" s="423">
        <f t="shared" si="66"/>
        <v>620505.75795837957</v>
      </c>
      <c r="E269" s="423">
        <f t="shared" si="66"/>
        <v>1561637.9238741612</v>
      </c>
      <c r="F269" s="423">
        <f>F253+F226+F152</f>
        <v>2235937.389</v>
      </c>
      <c r="G269" s="125"/>
      <c r="H269" s="125"/>
      <c r="I269" s="125"/>
      <c r="J269" s="125"/>
      <c r="K269" s="125"/>
      <c r="L269" s="218"/>
    </row>
    <row r="270" spans="1:12" s="92" customFormat="1" ht="12.5">
      <c r="A270" s="218"/>
      <c r="B270" s="218"/>
      <c r="C270" s="31">
        <f t="shared" si="61"/>
        <v>2021</v>
      </c>
      <c r="D270" s="423">
        <f t="shared" si="66"/>
        <v>681241.5017149098</v>
      </c>
      <c r="E270" s="423">
        <f>E254+E227+E153</f>
        <v>1705143.9939999999</v>
      </c>
      <c r="F270" s="125"/>
      <c r="G270" s="125"/>
      <c r="H270" s="125"/>
      <c r="I270" s="125"/>
      <c r="J270" s="125"/>
      <c r="K270" s="125"/>
      <c r="L270" s="218"/>
    </row>
    <row r="271" spans="1:12" s="92" customFormat="1" ht="12.5">
      <c r="A271" s="218"/>
      <c r="B271" s="218"/>
      <c r="C271" s="31">
        <f t="shared" si="61"/>
        <v>2022</v>
      </c>
      <c r="D271" s="423">
        <f>D255+D228+D154</f>
        <v>709773.05599999998</v>
      </c>
      <c r="E271" s="125"/>
      <c r="F271" s="125"/>
      <c r="G271" s="125"/>
      <c r="H271" s="125"/>
      <c r="I271" s="125"/>
      <c r="J271" s="125"/>
      <c r="K271" s="125"/>
      <c r="L271" s="218"/>
    </row>
    <row r="272" spans="1:12" s="92" customFormat="1" ht="12.5">
      <c r="A272" s="218"/>
      <c r="B272" s="218"/>
      <c r="C272" s="218"/>
      <c r="D272" s="125"/>
      <c r="E272" s="218"/>
      <c r="F272" s="125"/>
      <c r="G272" s="125"/>
      <c r="H272" s="218"/>
      <c r="I272" s="218"/>
      <c r="J272" s="218"/>
      <c r="K272" s="218"/>
      <c r="L272" s="218"/>
    </row>
    <row r="273" spans="1:12" s="92" customFormat="1" ht="12.5">
      <c r="A273" s="118"/>
      <c r="B273" s="118" t="s">
        <v>274</v>
      </c>
      <c r="C273" s="118"/>
      <c r="D273" s="118"/>
      <c r="E273" s="118"/>
      <c r="F273" s="118"/>
      <c r="G273" s="118"/>
      <c r="H273" s="118"/>
      <c r="I273" s="118"/>
      <c r="J273" s="118"/>
      <c r="K273" s="117"/>
      <c r="L273" s="218"/>
    </row>
    <row r="274" spans="1:12" s="92" customFormat="1" ht="12.5">
      <c r="A274" s="218"/>
      <c r="B274" s="218"/>
      <c r="C274" s="218"/>
      <c r="D274" s="218"/>
      <c r="E274" s="218"/>
      <c r="F274" s="218"/>
      <c r="G274" s="218"/>
      <c r="H274" s="218"/>
      <c r="I274" s="218"/>
      <c r="J274" s="218"/>
      <c r="K274" s="218"/>
      <c r="L274" s="218"/>
    </row>
    <row r="275" spans="1:12" s="92" customFormat="1" ht="12.5">
      <c r="A275" s="218"/>
      <c r="B275" s="218"/>
      <c r="C275" s="31" t="s">
        <v>192</v>
      </c>
      <c r="D275" s="509" t="s">
        <v>287</v>
      </c>
      <c r="E275" s="509"/>
      <c r="F275" s="509"/>
      <c r="G275" s="509"/>
      <c r="H275" s="509"/>
      <c r="I275" s="509"/>
      <c r="J275" s="218"/>
      <c r="K275" s="218"/>
      <c r="L275" s="218"/>
    </row>
    <row r="276" spans="1:12" s="92" customFormat="1" ht="12.5">
      <c r="A276" s="218"/>
      <c r="B276" s="218"/>
      <c r="C276" s="33" t="s">
        <v>8</v>
      </c>
      <c r="D276" s="70" t="str">
        <f t="shared" ref="D276:I276" si="70">+D260&amp;"-"&amp;E260</f>
        <v>12-24</v>
      </c>
      <c r="E276" s="70" t="str">
        <f t="shared" si="70"/>
        <v>24-36</v>
      </c>
      <c r="F276" s="70" t="str">
        <f t="shared" si="70"/>
        <v>36-48</v>
      </c>
      <c r="G276" s="70" t="str">
        <f t="shared" si="70"/>
        <v>48-60</v>
      </c>
      <c r="H276" s="70" t="str">
        <f t="shared" si="70"/>
        <v>60-72</v>
      </c>
      <c r="I276" s="70" t="str">
        <f t="shared" si="70"/>
        <v>72-84</v>
      </c>
      <c r="J276" s="218"/>
      <c r="K276" s="218"/>
      <c r="L276" s="218"/>
    </row>
    <row r="277" spans="1:12" s="92" customFormat="1" ht="4.5" customHeight="1">
      <c r="A277" s="218"/>
      <c r="B277" s="218"/>
      <c r="C277" s="218"/>
      <c r="D277" s="218"/>
      <c r="E277" s="218"/>
      <c r="F277" s="218"/>
      <c r="G277" s="218"/>
      <c r="H277" s="218"/>
      <c r="I277" s="218"/>
      <c r="J277" s="218"/>
      <c r="K277" s="218"/>
      <c r="L277" s="218"/>
    </row>
    <row r="278" spans="1:12" s="92" customFormat="1" ht="12.5">
      <c r="A278" s="218"/>
      <c r="B278" s="218"/>
      <c r="C278" s="31">
        <f t="shared" ref="C278:C285" si="71">+C247</f>
        <v>2014</v>
      </c>
      <c r="D278" s="425"/>
      <c r="E278" s="425"/>
      <c r="F278" s="425"/>
      <c r="G278" s="425"/>
      <c r="H278" s="425"/>
      <c r="I278" s="425">
        <f>J263/I263</f>
        <v>1.039408568134355</v>
      </c>
      <c r="J278" s="218"/>
      <c r="K278" s="218"/>
      <c r="L278" s="218"/>
    </row>
    <row r="279" spans="1:12" s="92" customFormat="1" ht="12.5">
      <c r="A279" s="218"/>
      <c r="B279" s="218"/>
      <c r="C279" s="31">
        <f t="shared" si="71"/>
        <v>2015</v>
      </c>
      <c r="D279" s="425"/>
      <c r="E279" s="425"/>
      <c r="F279" s="425"/>
      <c r="G279" s="425"/>
      <c r="H279" s="425">
        <f>I264/H264</f>
        <v>1.0646412166275763</v>
      </c>
      <c r="I279" s="425">
        <f t="shared" ref="I279" si="72">J264/I264</f>
        <v>1.0434243558975143</v>
      </c>
      <c r="J279" s="218"/>
      <c r="K279" s="218"/>
      <c r="L279" s="218"/>
    </row>
    <row r="280" spans="1:12" s="92" customFormat="1" ht="12.5">
      <c r="A280" s="218"/>
      <c r="B280" s="218"/>
      <c r="C280" s="31">
        <f t="shared" si="71"/>
        <v>2016</v>
      </c>
      <c r="D280" s="425"/>
      <c r="E280" s="425"/>
      <c r="F280" s="425"/>
      <c r="G280" s="425">
        <f>H265/G265</f>
        <v>1.1073883323882183</v>
      </c>
      <c r="H280" s="425">
        <f t="shared" ref="H280:I280" si="73">I265/H265</f>
        <v>1.0682574482906433</v>
      </c>
      <c r="I280" s="425">
        <f t="shared" si="73"/>
        <v>1.0473023799426144</v>
      </c>
      <c r="J280" s="218"/>
      <c r="K280" s="218"/>
      <c r="L280" s="218"/>
    </row>
    <row r="281" spans="1:12" s="92" customFormat="1" ht="12.5">
      <c r="A281" s="218"/>
      <c r="B281" s="218"/>
      <c r="C281" s="31">
        <f t="shared" si="71"/>
        <v>2017</v>
      </c>
      <c r="D281" s="425"/>
      <c r="E281" s="425"/>
      <c r="F281" s="425">
        <f>G266/F266</f>
        <v>1.1910172395467569</v>
      </c>
      <c r="G281" s="425">
        <f t="shared" ref="G281:H281" si="74">H266/G266</f>
        <v>1.1139617632855634</v>
      </c>
      <c r="H281" s="425">
        <f t="shared" si="74"/>
        <v>1.074410319427314</v>
      </c>
      <c r="I281" s="425"/>
      <c r="J281" s="218"/>
      <c r="K281" s="218"/>
      <c r="L281" s="218"/>
    </row>
    <row r="282" spans="1:12" s="92" customFormat="1" ht="12.5">
      <c r="A282" s="218"/>
      <c r="B282" s="218"/>
      <c r="C282" s="31">
        <f t="shared" si="71"/>
        <v>2018</v>
      </c>
      <c r="D282" s="425"/>
      <c r="E282" s="425">
        <f>F267/E267</f>
        <v>1.3589233780218264</v>
      </c>
      <c r="F282" s="425">
        <f t="shared" ref="F282:G283" si="75">G267/F267</f>
        <v>1.2106590408896358</v>
      </c>
      <c r="G282" s="425">
        <f t="shared" si="75"/>
        <v>1.1135138139847902</v>
      </c>
      <c r="H282" s="425"/>
      <c r="I282" s="425"/>
      <c r="J282" s="218"/>
      <c r="K282" s="218"/>
      <c r="L282" s="218"/>
    </row>
    <row r="283" spans="1:12" s="92" customFormat="1" ht="12.5">
      <c r="A283" s="218"/>
      <c r="B283" s="218"/>
      <c r="C283" s="31">
        <f t="shared" si="71"/>
        <v>2019</v>
      </c>
      <c r="D283" s="425">
        <f>E268/D268</f>
        <v>2.3614951693181703</v>
      </c>
      <c r="E283" s="425">
        <f t="shared" ref="D283:E285" si="76">F268/E268</f>
        <v>1.415992715480916</v>
      </c>
      <c r="F283" s="425">
        <f t="shared" si="75"/>
        <v>1.2202886638181663</v>
      </c>
      <c r="G283" s="425"/>
      <c r="H283" s="425"/>
      <c r="I283" s="425"/>
      <c r="J283" s="218"/>
      <c r="K283" s="218"/>
      <c r="L283" s="218"/>
    </row>
    <row r="284" spans="1:12" s="92" customFormat="1" ht="12.5">
      <c r="A284" s="218"/>
      <c r="B284" s="218"/>
      <c r="C284" s="31">
        <f t="shared" si="71"/>
        <v>2020</v>
      </c>
      <c r="D284" s="425">
        <f t="shared" si="76"/>
        <v>2.5167178609467604</v>
      </c>
      <c r="E284" s="425">
        <f t="shared" si="76"/>
        <v>1.4317898885632945</v>
      </c>
      <c r="F284" s="425"/>
      <c r="G284" s="425"/>
      <c r="H284" s="425"/>
      <c r="I284" s="425"/>
      <c r="J284" s="218"/>
      <c r="K284" s="218"/>
      <c r="L284" s="218"/>
    </row>
    <row r="285" spans="1:12" s="92" customFormat="1" ht="12.5">
      <c r="A285" s="218"/>
      <c r="B285" s="218"/>
      <c r="C285" s="31">
        <f t="shared" si="71"/>
        <v>2021</v>
      </c>
      <c r="D285" s="425">
        <f t="shared" si="76"/>
        <v>2.5029948846445635</v>
      </c>
      <c r="E285" s="229"/>
      <c r="F285" s="425"/>
      <c r="G285" s="425"/>
      <c r="H285" s="425"/>
      <c r="I285" s="425"/>
      <c r="J285" s="218"/>
      <c r="K285" s="218"/>
      <c r="L285" s="218"/>
    </row>
    <row r="286" spans="1:12" s="92" customFormat="1" ht="12.5">
      <c r="A286" s="218"/>
      <c r="B286" s="218"/>
      <c r="C286" s="31"/>
      <c r="D286" s="163"/>
      <c r="E286" s="218"/>
      <c r="F286" s="218"/>
      <c r="G286" s="218"/>
      <c r="H286" s="218"/>
      <c r="I286" s="218"/>
      <c r="J286" s="218"/>
      <c r="K286" s="218"/>
      <c r="L286" s="218"/>
    </row>
    <row r="287" spans="1:12" s="92" customFormat="1" ht="12.5">
      <c r="A287" s="218"/>
      <c r="B287" s="218"/>
      <c r="C287" s="218" t="s">
        <v>244</v>
      </c>
      <c r="D287" s="425">
        <f>D285</f>
        <v>2.5029948846445635</v>
      </c>
      <c r="E287" s="425">
        <f>E284</f>
        <v>1.4317898885632945</v>
      </c>
      <c r="F287" s="425">
        <f>F283</f>
        <v>1.2202886638181663</v>
      </c>
      <c r="G287" s="425">
        <f>G282</f>
        <v>1.1135138139847902</v>
      </c>
      <c r="H287" s="425">
        <f>H281</f>
        <v>1.074410319427314</v>
      </c>
      <c r="I287" s="425">
        <f>I280</f>
        <v>1.0473023799426144</v>
      </c>
      <c r="J287" s="218"/>
      <c r="K287" s="218"/>
      <c r="L287" s="218"/>
    </row>
    <row r="288" spans="1:12" s="92" customFormat="1" ht="12.5">
      <c r="A288" s="218"/>
      <c r="B288" s="218"/>
      <c r="C288" s="218"/>
      <c r="D288" s="218"/>
      <c r="E288" s="218"/>
      <c r="F288" s="218"/>
      <c r="G288" s="218"/>
      <c r="H288" s="218"/>
      <c r="I288" s="218"/>
      <c r="J288" s="218"/>
      <c r="K288" s="218"/>
      <c r="L288" s="218"/>
    </row>
    <row r="289" spans="1:12" s="92" customFormat="1" ht="40" customHeight="1">
      <c r="A289" s="46" t="s">
        <v>167</v>
      </c>
      <c r="B289" s="510" t="s">
        <v>305</v>
      </c>
      <c r="C289" s="510"/>
      <c r="D289" s="510"/>
      <c r="E289" s="510"/>
      <c r="F289" s="510"/>
      <c r="G289" s="510"/>
      <c r="H289" s="510"/>
      <c r="I289" s="510"/>
      <c r="J289" s="510"/>
      <c r="K289" s="510"/>
      <c r="L289" s="218"/>
    </row>
    <row r="290" spans="1:12" s="92" customFormat="1" ht="12.5">
      <c r="A290" s="218"/>
      <c r="B290" s="218"/>
      <c r="C290" s="218"/>
      <c r="D290" s="218"/>
      <c r="E290" s="218"/>
      <c r="F290" s="218"/>
      <c r="G290" s="218"/>
      <c r="H290" s="218"/>
      <c r="I290" s="218"/>
      <c r="J290" s="218"/>
      <c r="K290" s="218"/>
      <c r="L290" s="218"/>
    </row>
    <row r="291" spans="1:12" s="92" customFormat="1" ht="12.5">
      <c r="A291" s="218"/>
      <c r="B291" s="108" t="s">
        <v>421</v>
      </c>
      <c r="C291" s="41"/>
      <c r="D291" s="41"/>
      <c r="E291" s="41"/>
      <c r="F291" s="41"/>
      <c r="G291" s="41"/>
      <c r="H291" s="41"/>
      <c r="I291" s="41"/>
      <c r="J291" s="41"/>
      <c r="K291" s="218"/>
      <c r="L291" s="218"/>
    </row>
    <row r="292" spans="1:12" ht="45" customHeight="1">
      <c r="A292" s="108"/>
      <c r="B292" s="108"/>
      <c r="C292" s="108"/>
      <c r="D292" s="111"/>
      <c r="E292" s="111"/>
      <c r="F292" s="111"/>
      <c r="G292" s="111"/>
      <c r="H292" s="111"/>
      <c r="I292" s="108"/>
      <c r="L292" s="46" t="s">
        <v>361</v>
      </c>
    </row>
    <row r="293" spans="1:12" s="92" customFormat="1" ht="13">
      <c r="A293" s="122" t="s">
        <v>35</v>
      </c>
      <c r="B293" s="122"/>
      <c r="C293" s="122"/>
      <c r="D293" s="122"/>
      <c r="E293" s="122"/>
      <c r="F293" s="122"/>
      <c r="G293" s="122"/>
      <c r="H293" s="122"/>
      <c r="I293" s="122"/>
      <c r="J293" s="122"/>
      <c r="K293" s="122"/>
      <c r="L293" s="122"/>
    </row>
    <row r="294" spans="1:12" s="92" customFormat="1" ht="13">
      <c r="A294" s="122" t="s">
        <v>240</v>
      </c>
      <c r="B294" s="122"/>
      <c r="C294" s="122"/>
      <c r="D294" s="122"/>
      <c r="E294" s="122"/>
      <c r="F294" s="122"/>
      <c r="G294" s="122"/>
      <c r="H294" s="122"/>
      <c r="I294" s="122"/>
      <c r="J294" s="122"/>
      <c r="K294" s="122"/>
      <c r="L294" s="122"/>
    </row>
    <row r="295" spans="1:12" s="92" customFormat="1" ht="13">
      <c r="A295" s="122" t="s">
        <v>241</v>
      </c>
      <c r="B295" s="122"/>
      <c r="C295" s="122"/>
      <c r="D295" s="122"/>
      <c r="E295" s="122"/>
      <c r="F295" s="122"/>
      <c r="G295" s="122"/>
      <c r="H295" s="122"/>
      <c r="I295" s="122"/>
      <c r="J295" s="122"/>
      <c r="K295" s="122"/>
      <c r="L295" s="122"/>
    </row>
    <row r="296" spans="1:12" s="92" customFormat="1" ht="13">
      <c r="A296" s="248"/>
      <c r="B296" s="248"/>
      <c r="C296" s="248"/>
      <c r="D296" s="248"/>
      <c r="E296" s="248"/>
      <c r="F296" s="248"/>
      <c r="G296" s="248"/>
      <c r="H296" s="248"/>
      <c r="I296" s="248"/>
      <c r="J296" s="248"/>
      <c r="K296" s="248"/>
      <c r="L296" s="248"/>
    </row>
    <row r="297" spans="1:12" s="92" customFormat="1" ht="13">
      <c r="A297" s="248"/>
      <c r="B297" s="248"/>
      <c r="C297" s="248"/>
      <c r="D297" s="248"/>
      <c r="E297" s="248"/>
      <c r="F297" s="248"/>
      <c r="G297" s="248"/>
      <c r="H297" s="248"/>
      <c r="I297" s="248"/>
      <c r="J297" s="248"/>
      <c r="K297" s="248"/>
      <c r="L297" s="248"/>
    </row>
    <row r="298" spans="1:12" s="92" customFormat="1" ht="12.5">
      <c r="A298" s="118"/>
      <c r="B298" s="118" t="s">
        <v>306</v>
      </c>
      <c r="C298" s="118"/>
      <c r="D298" s="118"/>
      <c r="E298" s="118"/>
      <c r="F298" s="118"/>
      <c r="G298" s="118"/>
      <c r="H298" s="118"/>
      <c r="I298" s="118"/>
      <c r="J298" s="218"/>
      <c r="K298" s="218"/>
      <c r="L298" s="218"/>
    </row>
    <row r="299" spans="1:12" s="92" customFormat="1" ht="12.5">
      <c r="A299" s="218"/>
      <c r="B299" s="218"/>
      <c r="C299" s="218"/>
      <c r="D299" s="218"/>
      <c r="E299" s="218"/>
      <c r="F299" s="218"/>
      <c r="G299" s="218"/>
      <c r="H299" s="218"/>
      <c r="I299" s="218"/>
      <c r="J299" s="218"/>
      <c r="K299" s="218"/>
      <c r="L299" s="218"/>
    </row>
    <row r="300" spans="1:12" s="92" customFormat="1" ht="12.5">
      <c r="A300" s="218"/>
      <c r="B300" s="218"/>
      <c r="C300" s="31" t="s">
        <v>192</v>
      </c>
      <c r="D300" s="509" t="s">
        <v>287</v>
      </c>
      <c r="E300" s="509"/>
      <c r="F300" s="509"/>
      <c r="G300" s="509"/>
      <c r="H300" s="509"/>
      <c r="I300" s="509"/>
      <c r="J300" s="218"/>
      <c r="K300" s="218"/>
      <c r="L300" s="218"/>
    </row>
    <row r="301" spans="1:12" s="92" customFormat="1" ht="12.5">
      <c r="A301" s="218"/>
      <c r="B301" s="218"/>
      <c r="C301" s="33" t="s">
        <v>8</v>
      </c>
      <c r="D301" s="70" t="str">
        <f t="shared" ref="D301:I301" si="77">D276</f>
        <v>12-24</v>
      </c>
      <c r="E301" s="70" t="str">
        <f t="shared" si="77"/>
        <v>24-36</v>
      </c>
      <c r="F301" s="70" t="str">
        <f t="shared" si="77"/>
        <v>36-48</v>
      </c>
      <c r="G301" s="70" t="str">
        <f t="shared" si="77"/>
        <v>48-60</v>
      </c>
      <c r="H301" s="70" t="str">
        <f t="shared" si="77"/>
        <v>60-72</v>
      </c>
      <c r="I301" s="70" t="str">
        <f t="shared" si="77"/>
        <v>72-84</v>
      </c>
      <c r="J301" s="218"/>
      <c r="K301" s="218"/>
      <c r="L301" s="218"/>
    </row>
    <row r="302" spans="1:12" s="92" customFormat="1" ht="4.5" customHeight="1">
      <c r="A302" s="218"/>
      <c r="B302" s="218"/>
      <c r="C302" s="218"/>
      <c r="D302" s="218"/>
      <c r="E302" s="218"/>
      <c r="F302" s="218"/>
      <c r="G302" s="218"/>
      <c r="H302" s="218"/>
      <c r="I302" s="218"/>
      <c r="J302" s="218"/>
      <c r="K302" s="218"/>
      <c r="L302" s="218"/>
    </row>
    <row r="303" spans="1:12" s="92" customFormat="1" ht="12.5">
      <c r="A303" s="218"/>
      <c r="B303" s="218"/>
      <c r="C303" s="31">
        <f t="shared" ref="C303:C310" si="78">C278</f>
        <v>2014</v>
      </c>
      <c r="D303" s="426"/>
      <c r="E303" s="426"/>
      <c r="F303" s="426"/>
      <c r="G303" s="426"/>
      <c r="H303" s="426"/>
      <c r="I303" s="426">
        <v>1.042943975748809</v>
      </c>
      <c r="J303" s="218"/>
      <c r="K303" s="218"/>
      <c r="L303" s="218"/>
    </row>
    <row r="304" spans="1:12" s="92" customFormat="1" ht="12.5">
      <c r="A304" s="218"/>
      <c r="B304" s="218"/>
      <c r="C304" s="31">
        <f t="shared" si="78"/>
        <v>2015</v>
      </c>
      <c r="D304" s="426"/>
      <c r="E304" s="426"/>
      <c r="F304" s="426"/>
      <c r="G304" s="426"/>
      <c r="H304" s="426">
        <v>1.0624852376448268</v>
      </c>
      <c r="I304" s="426">
        <v>1.0441366816445334</v>
      </c>
      <c r="J304" s="218"/>
      <c r="K304" s="218"/>
      <c r="L304" s="218"/>
    </row>
    <row r="305" spans="1:12" s="92" customFormat="1" ht="12.5">
      <c r="A305" s="218"/>
      <c r="B305" s="218"/>
      <c r="C305" s="31">
        <f t="shared" si="78"/>
        <v>2016</v>
      </c>
      <c r="D305" s="426"/>
      <c r="E305" s="426"/>
      <c r="F305" s="426"/>
      <c r="G305" s="426">
        <v>1.098813038728329</v>
      </c>
      <c r="H305" s="426">
        <v>1.0642879191555166</v>
      </c>
      <c r="I305" s="426">
        <v>1.0484043644177896</v>
      </c>
      <c r="J305" s="218"/>
      <c r="K305" s="218"/>
      <c r="L305" s="218"/>
    </row>
    <row r="306" spans="1:12" s="92" customFormat="1" ht="12.5">
      <c r="A306" s="218"/>
      <c r="B306" s="218"/>
      <c r="C306" s="31">
        <f t="shared" si="78"/>
        <v>2017</v>
      </c>
      <c r="D306" s="426"/>
      <c r="E306" s="426"/>
      <c r="F306" s="426">
        <v>1.1774920649025706</v>
      </c>
      <c r="G306" s="426">
        <v>1.1036612803642798</v>
      </c>
      <c r="H306" s="426">
        <v>1.0710364974862199</v>
      </c>
      <c r="I306" s="426"/>
      <c r="J306" s="218"/>
      <c r="K306" s="218"/>
      <c r="L306" s="218"/>
    </row>
    <row r="307" spans="1:12" s="92" customFormat="1" ht="12.5">
      <c r="A307" s="218"/>
      <c r="B307" s="218"/>
      <c r="C307" s="31">
        <f t="shared" si="78"/>
        <v>2018</v>
      </c>
      <c r="D307" s="426"/>
      <c r="E307" s="426">
        <v>1.3780103424604859</v>
      </c>
      <c r="F307" s="426">
        <v>1.1966472045720324</v>
      </c>
      <c r="G307" s="426">
        <v>1.1063206331369628</v>
      </c>
      <c r="H307" s="426"/>
      <c r="I307" s="426"/>
      <c r="J307" s="218"/>
      <c r="K307" s="218"/>
      <c r="L307" s="218"/>
    </row>
    <row r="308" spans="1:12" s="92" customFormat="1" ht="12.5">
      <c r="A308" s="218"/>
      <c r="B308" s="218"/>
      <c r="C308" s="31">
        <f t="shared" si="78"/>
        <v>2019</v>
      </c>
      <c r="D308" s="426">
        <v>2.3469800677353128</v>
      </c>
      <c r="E308" s="426">
        <v>1.4279590938097604</v>
      </c>
      <c r="F308" s="426">
        <v>1.219121774463056</v>
      </c>
      <c r="G308" s="426"/>
      <c r="H308" s="426"/>
      <c r="I308" s="426"/>
      <c r="J308" s="218"/>
      <c r="K308" s="218"/>
      <c r="L308" s="218"/>
    </row>
    <row r="309" spans="1:12" s="92" customFormat="1" ht="12.5">
      <c r="A309" s="218"/>
      <c r="B309" s="218"/>
      <c r="C309" s="31">
        <f t="shared" si="78"/>
        <v>2020</v>
      </c>
      <c r="D309" s="426">
        <v>2.4934948331297617</v>
      </c>
      <c r="E309" s="426">
        <v>1.4467429159320311</v>
      </c>
      <c r="F309" s="426"/>
      <c r="G309" s="426"/>
      <c r="H309" s="426"/>
      <c r="I309" s="426"/>
      <c r="J309" s="218"/>
      <c r="K309" s="218"/>
      <c r="L309" s="218"/>
    </row>
    <row r="310" spans="1:12" s="92" customFormat="1" ht="12.5">
      <c r="A310" s="218"/>
      <c r="B310" s="218"/>
      <c r="C310" s="31">
        <f t="shared" si="78"/>
        <v>2021</v>
      </c>
      <c r="D310" s="426">
        <v>2.5027633737194739</v>
      </c>
      <c r="E310" s="426"/>
      <c r="F310" s="426"/>
      <c r="G310" s="426"/>
      <c r="H310" s="426"/>
      <c r="I310" s="426"/>
      <c r="J310" s="218"/>
      <c r="K310" s="218"/>
      <c r="L310" s="218"/>
    </row>
    <row r="311" spans="1:12" s="92" customFormat="1" ht="13">
      <c r="A311" s="248"/>
      <c r="B311" s="248"/>
      <c r="C311" s="248"/>
      <c r="D311" s="248"/>
      <c r="E311" s="218"/>
      <c r="F311" s="248"/>
      <c r="G311" s="248"/>
      <c r="H311" s="248"/>
      <c r="I311" s="248"/>
      <c r="J311" s="248"/>
      <c r="K311" s="248"/>
      <c r="L311" s="248"/>
    </row>
    <row r="312" spans="1:12" s="92" customFormat="1" ht="12.5">
      <c r="A312" s="118"/>
      <c r="B312" s="118" t="s">
        <v>307</v>
      </c>
      <c r="C312" s="118"/>
      <c r="D312" s="118"/>
      <c r="E312" s="118"/>
      <c r="F312" s="118"/>
      <c r="G312" s="118"/>
      <c r="H312" s="118"/>
      <c r="I312" s="118"/>
      <c r="J312" s="218"/>
      <c r="K312" s="218"/>
      <c r="L312" s="218"/>
    </row>
    <row r="313" spans="1:12" s="92" customFormat="1" ht="12.5">
      <c r="A313" s="218"/>
      <c r="B313" s="218"/>
      <c r="C313" s="218"/>
      <c r="D313" s="218"/>
      <c r="E313" s="218"/>
      <c r="F313" s="218"/>
      <c r="G313" s="218"/>
      <c r="H313" s="218"/>
      <c r="I313" s="218"/>
      <c r="J313" s="218"/>
      <c r="K313" s="218"/>
      <c r="L313" s="218"/>
    </row>
    <row r="314" spans="1:12" s="92" customFormat="1" ht="12.5">
      <c r="A314" s="218"/>
      <c r="B314" s="218"/>
      <c r="C314" s="31" t="s">
        <v>192</v>
      </c>
      <c r="D314" s="509" t="s">
        <v>287</v>
      </c>
      <c r="E314" s="509"/>
      <c r="F314" s="509"/>
      <c r="G314" s="509"/>
      <c r="H314" s="509"/>
      <c r="I314" s="509"/>
      <c r="J314" s="250"/>
      <c r="K314" s="250"/>
      <c r="L314" s="218"/>
    </row>
    <row r="315" spans="1:12" s="92" customFormat="1" ht="12.5">
      <c r="A315" s="218"/>
      <c r="B315" s="218"/>
      <c r="C315" s="33" t="s">
        <v>8</v>
      </c>
      <c r="D315" s="70" t="str">
        <f t="shared" ref="D315:I315" si="79">D301</f>
        <v>12-24</v>
      </c>
      <c r="E315" s="70" t="str">
        <f t="shared" si="79"/>
        <v>24-36</v>
      </c>
      <c r="F315" s="70" t="str">
        <f t="shared" si="79"/>
        <v>36-48</v>
      </c>
      <c r="G315" s="70" t="str">
        <f t="shared" si="79"/>
        <v>48-60</v>
      </c>
      <c r="H315" s="70" t="str">
        <f t="shared" si="79"/>
        <v>60-72</v>
      </c>
      <c r="I315" s="70" t="str">
        <f t="shared" si="79"/>
        <v>72-84</v>
      </c>
      <c r="J315" s="218"/>
      <c r="K315" s="218"/>
      <c r="L315" s="33"/>
    </row>
    <row r="316" spans="1:12" s="92" customFormat="1" ht="4.5" customHeight="1">
      <c r="A316" s="218"/>
      <c r="B316" s="218"/>
      <c r="C316" s="218"/>
      <c r="D316" s="218"/>
      <c r="E316" s="218"/>
      <c r="F316" s="218"/>
      <c r="G316" s="218"/>
      <c r="H316" s="218"/>
      <c r="I316" s="218"/>
      <c r="J316" s="218"/>
      <c r="K316" s="218"/>
      <c r="L316" s="218"/>
    </row>
    <row r="317" spans="1:12" s="92" customFormat="1" ht="12.5">
      <c r="A317" s="218"/>
      <c r="B317" s="218"/>
      <c r="C317" s="31">
        <f t="shared" ref="C317:C322" si="80">+C303</f>
        <v>2014</v>
      </c>
      <c r="D317" s="262"/>
      <c r="E317" s="262"/>
      <c r="F317" s="262"/>
      <c r="G317" s="262"/>
      <c r="H317" s="262"/>
      <c r="I317" s="444">
        <f>I278/I303-1</f>
        <v>-3.3898346379686028E-3</v>
      </c>
      <c r="J317" s="218"/>
      <c r="K317" s="218"/>
      <c r="L317" s="255"/>
    </row>
    <row r="318" spans="1:12" s="92" customFormat="1" ht="12.5">
      <c r="A318" s="218"/>
      <c r="B318" s="218"/>
      <c r="C318" s="31">
        <f t="shared" si="80"/>
        <v>2015</v>
      </c>
      <c r="D318" s="262"/>
      <c r="E318" s="262"/>
      <c r="F318" s="262"/>
      <c r="G318" s="262"/>
      <c r="H318" s="444">
        <f>H279/H304-1</f>
        <v>2.0291848831033299E-3</v>
      </c>
      <c r="I318" s="444">
        <f t="shared" ref="I318" si="81">I279/I304-1</f>
        <v>-6.8221503902843317E-4</v>
      </c>
      <c r="J318" s="218"/>
      <c r="K318" s="218"/>
      <c r="L318" s="255"/>
    </row>
    <row r="319" spans="1:12" s="92" customFormat="1" ht="12.5">
      <c r="A319" s="218"/>
      <c r="B319" s="218"/>
      <c r="C319" s="31">
        <f t="shared" si="80"/>
        <v>2016</v>
      </c>
      <c r="D319" s="262"/>
      <c r="E319" s="262"/>
      <c r="F319" s="262"/>
      <c r="G319" s="444">
        <f>G280/G305-1</f>
        <v>7.8041426135728731E-3</v>
      </c>
      <c r="H319" s="444">
        <f t="shared" ref="H319:I319" si="82">H280/H305-1</f>
        <v>3.7297511920237891E-3</v>
      </c>
      <c r="I319" s="444">
        <f t="shared" si="82"/>
        <v>-1.0511063408126242E-3</v>
      </c>
      <c r="J319" s="218"/>
      <c r="K319" s="218"/>
      <c r="L319" s="255"/>
    </row>
    <row r="320" spans="1:12" s="92" customFormat="1" ht="12.5">
      <c r="A320" s="218"/>
      <c r="B320" s="218"/>
      <c r="C320" s="31">
        <f t="shared" si="80"/>
        <v>2017</v>
      </c>
      <c r="D320" s="262"/>
      <c r="E320" s="262"/>
      <c r="F320" s="444">
        <f>F281/F306-1</f>
        <v>1.1486425299439551E-2</v>
      </c>
      <c r="G320" s="444">
        <f t="shared" ref="G320:H320" si="83">G281/G306-1</f>
        <v>9.3330110465448257E-3</v>
      </c>
      <c r="H320" s="444">
        <f t="shared" si="83"/>
        <v>3.150053195211111E-3</v>
      </c>
      <c r="I320" s="262"/>
      <c r="J320" s="218"/>
      <c r="K320" s="218"/>
      <c r="L320" s="255"/>
    </row>
    <row r="321" spans="1:12" s="92" customFormat="1" ht="12.5">
      <c r="A321" s="218"/>
      <c r="B321" s="218"/>
      <c r="C321" s="31">
        <f t="shared" si="80"/>
        <v>2018</v>
      </c>
      <c r="D321" s="262"/>
      <c r="E321" s="444">
        <f>E282/E307-1</f>
        <v>-1.3851103907231321E-2</v>
      </c>
      <c r="F321" s="444">
        <f t="shared" ref="F321:G322" si="84">F282/F307-1</f>
        <v>1.1709245852970174E-2</v>
      </c>
      <c r="G321" s="444">
        <f t="shared" si="84"/>
        <v>6.5018952303468325E-3</v>
      </c>
      <c r="H321" s="262"/>
      <c r="I321" s="262"/>
      <c r="J321" s="218"/>
      <c r="K321" s="218"/>
      <c r="L321" s="255"/>
    </row>
    <row r="322" spans="1:12" s="92" customFormat="1" ht="12.5">
      <c r="A322" s="218"/>
      <c r="B322" s="218"/>
      <c r="C322" s="31">
        <f t="shared" si="80"/>
        <v>2019</v>
      </c>
      <c r="D322" s="444">
        <f>D283/D308-1</f>
        <v>6.1845866449405928E-3</v>
      </c>
      <c r="E322" s="444">
        <f t="shared" ref="D322:E324" si="85">E283/E308-1</f>
        <v>-8.3800568102538886E-3</v>
      </c>
      <c r="F322" s="444">
        <f t="shared" si="84"/>
        <v>9.5715569974474946E-4</v>
      </c>
      <c r="G322" s="262"/>
      <c r="H322" s="262"/>
      <c r="I322" s="262"/>
      <c r="J322" s="218"/>
      <c r="K322" s="218"/>
      <c r="L322" s="255"/>
    </row>
    <row r="323" spans="1:12" s="92" customFormat="1" ht="12.5">
      <c r="A323" s="218"/>
      <c r="B323" s="218"/>
      <c r="C323" s="31">
        <f>+C309</f>
        <v>2020</v>
      </c>
      <c r="D323" s="444">
        <f t="shared" si="85"/>
        <v>9.3134453332113232E-3</v>
      </c>
      <c r="E323" s="444">
        <f t="shared" si="85"/>
        <v>-1.0335649274013203E-2</v>
      </c>
      <c r="F323" s="262"/>
      <c r="G323" s="262"/>
      <c r="H323" s="262"/>
      <c r="I323" s="262"/>
      <c r="J323" s="218"/>
      <c r="K323" s="218"/>
      <c r="L323" s="255"/>
    </row>
    <row r="324" spans="1:12" s="92" customFormat="1" ht="12.5">
      <c r="A324" s="218"/>
      <c r="B324" s="218"/>
      <c r="C324" s="31">
        <f>+C310</f>
        <v>2021</v>
      </c>
      <c r="D324" s="444">
        <f t="shared" si="85"/>
        <v>9.2502122861715108E-5</v>
      </c>
      <c r="E324" s="262"/>
      <c r="F324" s="262"/>
      <c r="G324" s="262"/>
      <c r="H324" s="262"/>
      <c r="I324" s="262"/>
      <c r="J324" s="218"/>
      <c r="K324" s="218"/>
      <c r="L324" s="255"/>
    </row>
    <row r="325" spans="1:12" s="92" customFormat="1" ht="12.5">
      <c r="A325" s="218"/>
      <c r="B325" s="218"/>
      <c r="C325" s="31"/>
      <c r="D325" s="262"/>
      <c r="E325" s="218"/>
      <c r="F325" s="262"/>
      <c r="G325" s="262"/>
      <c r="H325" s="262"/>
      <c r="I325" s="262"/>
      <c r="J325" s="218"/>
      <c r="K325" s="218"/>
      <c r="L325" s="255"/>
    </row>
    <row r="326" spans="1:12" s="92" customFormat="1" ht="12.75" customHeight="1">
      <c r="A326" s="263"/>
      <c r="B326" s="118" t="s">
        <v>375</v>
      </c>
      <c r="C326" s="118"/>
      <c r="D326" s="118"/>
      <c r="E326" s="118"/>
      <c r="F326" s="118"/>
      <c r="G326" s="118"/>
      <c r="H326" s="118"/>
      <c r="I326" s="118"/>
      <c r="J326" s="117"/>
      <c r="K326" s="117"/>
      <c r="L326" s="117"/>
    </row>
    <row r="327" spans="1:12" s="183" customFormat="1" ht="12.75" customHeight="1">
      <c r="A327" s="118"/>
      <c r="B327" s="118" t="s">
        <v>374</v>
      </c>
      <c r="C327" s="118"/>
      <c r="D327" s="118"/>
      <c r="E327" s="118"/>
      <c r="F327" s="118"/>
      <c r="G327" s="118"/>
      <c r="H327" s="118"/>
      <c r="I327" s="118"/>
      <c r="J327" s="117"/>
      <c r="K327" s="117"/>
      <c r="L327" s="117"/>
    </row>
    <row r="328" spans="1:12" s="92" customFormat="1" ht="12.5">
      <c r="A328" s="218"/>
      <c r="B328" s="218"/>
      <c r="C328" s="218"/>
      <c r="D328" s="218"/>
      <c r="E328" s="218"/>
      <c r="F328" s="218"/>
      <c r="G328" s="218"/>
      <c r="H328" s="218"/>
      <c r="I328" s="218"/>
      <c r="J328" s="218"/>
      <c r="K328" s="218"/>
      <c r="L328" s="218"/>
    </row>
    <row r="329" spans="1:12" s="92" customFormat="1" ht="12.5">
      <c r="A329" s="218"/>
      <c r="B329" s="218"/>
      <c r="C329" s="31" t="s">
        <v>192</v>
      </c>
      <c r="D329" s="509" t="s">
        <v>287</v>
      </c>
      <c r="E329" s="509"/>
      <c r="F329" s="509"/>
      <c r="G329" s="509"/>
      <c r="H329" s="509"/>
      <c r="I329" s="509"/>
      <c r="J329" s="218"/>
      <c r="K329" s="218"/>
      <c r="L329" s="218"/>
    </row>
    <row r="330" spans="1:12" s="92" customFormat="1" ht="12.5">
      <c r="A330" s="218"/>
      <c r="B330" s="218"/>
      <c r="C330" s="33" t="s">
        <v>8</v>
      </c>
      <c r="D330" s="70" t="str">
        <f t="shared" ref="D330:I330" si="86">D315</f>
        <v>12-24</v>
      </c>
      <c r="E330" s="70" t="str">
        <f t="shared" si="86"/>
        <v>24-36</v>
      </c>
      <c r="F330" s="70" t="str">
        <f t="shared" si="86"/>
        <v>36-48</v>
      </c>
      <c r="G330" s="70" t="str">
        <f t="shared" si="86"/>
        <v>48-60</v>
      </c>
      <c r="H330" s="70" t="str">
        <f t="shared" si="86"/>
        <v>60-72</v>
      </c>
      <c r="I330" s="70" t="str">
        <f t="shared" si="86"/>
        <v>72-84</v>
      </c>
      <c r="J330" s="218"/>
      <c r="K330" s="218"/>
      <c r="L330" s="218"/>
    </row>
    <row r="331" spans="1:12" s="92" customFormat="1" ht="4.5" customHeight="1">
      <c r="A331" s="218"/>
      <c r="B331" s="218"/>
      <c r="C331" s="218"/>
      <c r="D331" s="218"/>
      <c r="E331" s="218"/>
      <c r="F331" s="218"/>
      <c r="G331" s="218"/>
      <c r="H331" s="218"/>
      <c r="I331" s="218"/>
      <c r="J331" s="218"/>
      <c r="K331" s="218"/>
      <c r="L331" s="218"/>
    </row>
    <row r="332" spans="1:12" s="92" customFormat="1" ht="12" customHeight="1">
      <c r="A332" s="218"/>
      <c r="B332" s="218"/>
      <c r="C332" s="31">
        <f t="shared" ref="C332:C337" si="87">+C303</f>
        <v>2014</v>
      </c>
      <c r="D332" s="428"/>
      <c r="E332" s="428"/>
      <c r="F332" s="428"/>
      <c r="G332" s="428"/>
      <c r="H332" s="428"/>
      <c r="I332" s="428">
        <v>1.0414576228033228</v>
      </c>
      <c r="J332" s="218"/>
      <c r="K332" s="218"/>
      <c r="L332" s="218"/>
    </row>
    <row r="333" spans="1:12" s="92" customFormat="1" ht="12.5">
      <c r="A333" s="218"/>
      <c r="B333" s="218"/>
      <c r="C333" s="31">
        <f t="shared" si="87"/>
        <v>2015</v>
      </c>
      <c r="D333" s="428"/>
      <c r="E333" s="428"/>
      <c r="F333" s="428"/>
      <c r="G333" s="428"/>
      <c r="H333" s="428">
        <v>1.0661590527156219</v>
      </c>
      <c r="I333" s="428">
        <v>1.0422884497142932</v>
      </c>
      <c r="J333" s="218"/>
      <c r="K333" s="218"/>
      <c r="L333" s="218"/>
    </row>
    <row r="334" spans="1:12" s="92" customFormat="1" ht="12.5">
      <c r="A334" s="218"/>
      <c r="B334" s="218"/>
      <c r="C334" s="31">
        <f t="shared" si="87"/>
        <v>2016</v>
      </c>
      <c r="D334" s="428"/>
      <c r="E334" s="428"/>
      <c r="F334" s="428"/>
      <c r="G334" s="428">
        <v>1.1095923610175438</v>
      </c>
      <c r="H334" s="428">
        <v>1.0669647255171213</v>
      </c>
      <c r="I334" s="428">
        <v>1.045899491661169</v>
      </c>
      <c r="J334" s="218"/>
      <c r="K334" s="218"/>
      <c r="L334" s="218"/>
    </row>
    <row r="335" spans="1:12" s="92" customFormat="1" ht="12.5">
      <c r="A335" s="218"/>
      <c r="B335" s="218"/>
      <c r="C335" s="31">
        <f t="shared" si="87"/>
        <v>2017</v>
      </c>
      <c r="D335" s="428"/>
      <c r="E335" s="428"/>
      <c r="F335" s="428">
        <v>1.1945654682786382</v>
      </c>
      <c r="G335" s="428">
        <v>1.1112756451622459</v>
      </c>
      <c r="H335" s="428">
        <v>1.0713642568124855</v>
      </c>
      <c r="I335" s="428"/>
      <c r="J335" s="218"/>
      <c r="K335" s="218"/>
      <c r="L335" s="218"/>
    </row>
    <row r="336" spans="1:12" s="92" customFormat="1" ht="12.5">
      <c r="A336" s="218"/>
      <c r="B336" s="218"/>
      <c r="C336" s="31">
        <f t="shared" si="87"/>
        <v>2018</v>
      </c>
      <c r="D336" s="428"/>
      <c r="E336" s="428">
        <v>1.3677885188806702</v>
      </c>
      <c r="F336" s="428">
        <v>1.2049457118108875</v>
      </c>
      <c r="G336" s="428">
        <v>1.1091650885438422</v>
      </c>
      <c r="H336" s="428"/>
      <c r="I336" s="428"/>
      <c r="J336" s="218"/>
      <c r="K336" s="218"/>
      <c r="L336" s="218"/>
    </row>
    <row r="337" spans="1:12" s="92" customFormat="1" ht="12.5">
      <c r="A337" s="218"/>
      <c r="B337" s="218"/>
      <c r="C337" s="31">
        <f t="shared" si="87"/>
        <v>2019</v>
      </c>
      <c r="D337" s="428">
        <v>2.3816389165885745</v>
      </c>
      <c r="E337" s="428">
        <v>1.4071086993862498</v>
      </c>
      <c r="F337" s="428">
        <v>1.2141610298637904</v>
      </c>
      <c r="G337" s="428"/>
      <c r="H337" s="428"/>
      <c r="I337" s="428"/>
      <c r="J337" s="218"/>
      <c r="K337" s="218"/>
      <c r="L337" s="218"/>
    </row>
    <row r="338" spans="1:12" s="92" customFormat="1" ht="12.5">
      <c r="A338" s="218"/>
      <c r="B338" s="218"/>
      <c r="C338" s="31">
        <f>+C309</f>
        <v>2020</v>
      </c>
      <c r="D338" s="428">
        <v>2.4899762696370322</v>
      </c>
      <c r="E338" s="428">
        <v>1.425116665045421</v>
      </c>
      <c r="F338" s="428"/>
      <c r="G338" s="428"/>
      <c r="H338" s="428"/>
      <c r="I338" s="428"/>
      <c r="J338" s="218"/>
      <c r="K338" s="218"/>
      <c r="L338" s="218"/>
    </row>
    <row r="339" spans="1:12" s="92" customFormat="1" ht="12.5">
      <c r="A339" s="218"/>
      <c r="B339" s="218"/>
      <c r="C339" s="31">
        <f>+C310</f>
        <v>2021</v>
      </c>
      <c r="D339" s="428">
        <v>2.4942307002944175</v>
      </c>
      <c r="E339" s="428"/>
      <c r="F339" s="428"/>
      <c r="G339" s="428"/>
      <c r="H339" s="428"/>
      <c r="I339" s="428"/>
      <c r="J339" s="218"/>
      <c r="K339" s="218"/>
      <c r="L339" s="218"/>
    </row>
    <row r="340" spans="1:12" s="92" customFormat="1" ht="12.5">
      <c r="A340" s="218"/>
      <c r="B340" s="218"/>
      <c r="C340" s="31"/>
      <c r="D340" s="218"/>
      <c r="E340" s="264"/>
      <c r="F340" s="218"/>
      <c r="G340" s="218"/>
      <c r="H340" s="218"/>
      <c r="I340" s="218"/>
      <c r="J340" s="218"/>
      <c r="K340" s="218"/>
      <c r="L340" s="218"/>
    </row>
    <row r="341" spans="1:12" s="229" customFormat="1" ht="12.5">
      <c r="A341" s="325"/>
      <c r="B341" s="325"/>
      <c r="C341" s="329" t="s">
        <v>244</v>
      </c>
      <c r="D341" s="425">
        <f>D339</f>
        <v>2.4942307002944175</v>
      </c>
      <c r="E341" s="425">
        <f>E338</f>
        <v>1.425116665045421</v>
      </c>
      <c r="F341" s="425">
        <f>F337</f>
        <v>1.2141610298637904</v>
      </c>
      <c r="G341" s="425">
        <f>G336</f>
        <v>1.1091650885438422</v>
      </c>
      <c r="H341" s="425">
        <f>H335</f>
        <v>1.0713642568124855</v>
      </c>
      <c r="I341" s="425">
        <f>I334</f>
        <v>1.045899491661169</v>
      </c>
      <c r="J341" s="325"/>
      <c r="K341" s="325"/>
      <c r="L341" s="325"/>
    </row>
    <row r="342" spans="1:12" s="92" customFormat="1" ht="12.5">
      <c r="A342" s="218"/>
      <c r="B342" s="218"/>
      <c r="C342" s="218" t="s">
        <v>419</v>
      </c>
      <c r="D342" s="425">
        <f>AVERAGE(D338:D339)</f>
        <v>2.4921034849657246</v>
      </c>
      <c r="E342" s="425">
        <f>AVERAGE(E337:E338)</f>
        <v>1.4161126822158354</v>
      </c>
      <c r="F342" s="425">
        <f>AVERAGE(F336:F337)</f>
        <v>1.2095533708373389</v>
      </c>
      <c r="G342" s="425">
        <f>AVERAGE(G335:G336)</f>
        <v>1.1102203668530439</v>
      </c>
      <c r="H342" s="425">
        <f>AVERAGE(H334:H335)</f>
        <v>1.0691644911648033</v>
      </c>
      <c r="I342" s="425">
        <f>AVERAGE(I333:I334)</f>
        <v>1.0440939706877312</v>
      </c>
      <c r="J342" s="218"/>
      <c r="K342" s="218"/>
      <c r="L342" s="218"/>
    </row>
    <row r="343" spans="1:12" s="92" customFormat="1" ht="12.5">
      <c r="A343" s="218"/>
      <c r="B343" s="218"/>
      <c r="C343" s="218" t="s">
        <v>259</v>
      </c>
      <c r="D343" s="425">
        <f>AVERAGE(D337:D339)</f>
        <v>2.4552819621733413</v>
      </c>
      <c r="E343" s="425">
        <f>AVERAGE(E336:E338)</f>
        <v>1.4000046277707803</v>
      </c>
      <c r="F343" s="425">
        <f>AVERAGE(F335:F337)</f>
        <v>1.2045574033177722</v>
      </c>
      <c r="G343" s="425">
        <f>AVERAGE(G334:G336)</f>
        <v>1.1100110315745439</v>
      </c>
      <c r="H343" s="425">
        <f>AVERAGE(H333:H335)</f>
        <v>1.0681626783484097</v>
      </c>
      <c r="I343" s="425">
        <f>AVERAGE(I332:I334)</f>
        <v>1.043215188059595</v>
      </c>
      <c r="J343" s="218"/>
      <c r="K343" s="218"/>
      <c r="L343" s="218"/>
    </row>
    <row r="344" spans="1:12" s="92" customFormat="1" ht="12.5">
      <c r="A344" s="108"/>
      <c r="B344" s="108"/>
      <c r="C344" s="108"/>
      <c r="D344" s="265"/>
      <c r="E344" s="265"/>
      <c r="F344" s="265"/>
      <c r="G344" s="265"/>
      <c r="H344" s="265"/>
      <c r="I344" s="265"/>
      <c r="J344" s="108"/>
      <c r="K344" s="108"/>
      <c r="L344" s="108"/>
    </row>
    <row r="345" spans="1:12" s="92" customFormat="1" ht="25" customHeight="1">
      <c r="A345" s="46" t="s">
        <v>98</v>
      </c>
      <c r="B345" s="510" t="s">
        <v>275</v>
      </c>
      <c r="C345" s="510"/>
      <c r="D345" s="510"/>
      <c r="E345" s="510"/>
      <c r="F345" s="510"/>
      <c r="G345" s="510"/>
      <c r="H345" s="510"/>
      <c r="I345" s="510"/>
      <c r="J345" s="510"/>
      <c r="K345" s="510"/>
      <c r="L345" s="218"/>
    </row>
    <row r="346" spans="1:12" s="92" customFormat="1" ht="12.75" customHeight="1">
      <c r="A346" s="46" t="s">
        <v>262</v>
      </c>
      <c r="B346" s="510" t="s">
        <v>276</v>
      </c>
      <c r="C346" s="510"/>
      <c r="D346" s="510"/>
      <c r="E346" s="510"/>
      <c r="F346" s="510"/>
      <c r="G346" s="510"/>
      <c r="H346" s="510"/>
      <c r="I346" s="510"/>
      <c r="J346" s="510"/>
      <c r="K346" s="510"/>
      <c r="L346" s="218"/>
    </row>
    <row r="347" spans="1:12" s="92" customFormat="1" ht="28.5" customHeight="1">
      <c r="A347" s="46" t="s">
        <v>264</v>
      </c>
      <c r="B347" s="510" t="s">
        <v>281</v>
      </c>
      <c r="C347" s="510"/>
      <c r="D347" s="510"/>
      <c r="E347" s="510"/>
      <c r="F347" s="510"/>
      <c r="G347" s="510"/>
      <c r="H347" s="510"/>
      <c r="I347" s="510"/>
      <c r="J347" s="510"/>
      <c r="K347" s="510"/>
      <c r="L347" s="218"/>
    </row>
    <row r="348" spans="1:12" s="92" customFormat="1" ht="12.5">
      <c r="A348" s="108"/>
      <c r="B348" s="108"/>
      <c r="C348" s="108"/>
      <c r="D348" s="265"/>
      <c r="E348" s="265"/>
      <c r="F348" s="265"/>
      <c r="G348" s="265"/>
      <c r="H348" s="265"/>
      <c r="I348" s="265"/>
      <c r="J348" s="108"/>
      <c r="K348" s="108"/>
      <c r="L348" s="108"/>
    </row>
    <row r="349" spans="1:12" s="92" customFormat="1" ht="12.5">
      <c r="A349" s="218"/>
      <c r="B349" s="108" t="s">
        <v>421</v>
      </c>
      <c r="C349" s="250"/>
      <c r="D349" s="148"/>
      <c r="E349" s="148"/>
      <c r="F349" s="148"/>
      <c r="G349" s="148"/>
      <c r="H349" s="148"/>
      <c r="I349" s="148"/>
      <c r="J349" s="108"/>
      <c r="K349" s="108"/>
      <c r="L349" s="108"/>
    </row>
    <row r="350" spans="1:12">
      <c r="A350" s="203"/>
      <c r="B350" s="203"/>
      <c r="C350" s="203"/>
      <c r="D350" s="203"/>
      <c r="E350" s="203"/>
      <c r="F350" s="203"/>
      <c r="G350" s="203"/>
      <c r="H350" s="203"/>
      <c r="I350" s="203"/>
      <c r="J350" s="203"/>
      <c r="K350" s="203"/>
      <c r="L350" s="203"/>
    </row>
  </sheetData>
  <mergeCells count="30">
    <mergeCell ref="B346:K346"/>
    <mergeCell ref="B347:K347"/>
    <mergeCell ref="B230:K230"/>
    <mergeCell ref="B173:K173"/>
    <mergeCell ref="B172:K172"/>
    <mergeCell ref="D275:I275"/>
    <mergeCell ref="D329:I329"/>
    <mergeCell ref="D300:I300"/>
    <mergeCell ref="D314:I314"/>
    <mergeCell ref="B289:K289"/>
    <mergeCell ref="B345:K345"/>
    <mergeCell ref="B231:K231"/>
    <mergeCell ref="D259:J259"/>
    <mergeCell ref="D243:J243"/>
    <mergeCell ref="D216:J216"/>
    <mergeCell ref="D184:J184"/>
    <mergeCell ref="B115:K115"/>
    <mergeCell ref="B114:K114"/>
    <mergeCell ref="D68:J68"/>
    <mergeCell ref="D8:J8"/>
    <mergeCell ref="D24:J24"/>
    <mergeCell ref="D45:J45"/>
    <mergeCell ref="D84:J84"/>
    <mergeCell ref="D100:J100"/>
    <mergeCell ref="D201:J201"/>
    <mergeCell ref="B232:K232"/>
    <mergeCell ref="B174:J174"/>
    <mergeCell ref="D126:J126"/>
    <mergeCell ref="D142:J142"/>
    <mergeCell ref="D158:J158"/>
  </mergeCells>
  <printOptions horizontalCentered="1"/>
  <pageMargins left="0.25" right="0.25" top="0.33" bottom="0.5" header="0.3" footer="0.3"/>
  <pageSetup scale="81" orientation="portrait" blackAndWhite="1" r:id="rId1"/>
  <headerFooter scaleWithDoc="0"/>
  <rowBreaks count="5" manualBreakCount="5">
    <brk id="59" max="16383" man="1"/>
    <brk id="117" max="10" man="1"/>
    <brk id="175" max="16383" man="1"/>
    <brk id="234" max="16383" man="1"/>
    <brk id="29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H48"/>
  <sheetViews>
    <sheetView zoomScaleNormal="100" zoomScaleSheetLayoutView="115" workbookViewId="0">
      <selection sqref="A1:G1"/>
    </sheetView>
  </sheetViews>
  <sheetFormatPr defaultColWidth="9.1796875" defaultRowHeight="12.5"/>
  <cols>
    <col min="1" max="1" width="8.54296875" style="56" customWidth="1"/>
    <col min="2" max="2" width="11.81640625" style="56" customWidth="1"/>
    <col min="3" max="3" width="12" style="56" customWidth="1"/>
    <col min="4" max="6" width="11.81640625" style="56" customWidth="1"/>
    <col min="7" max="7" width="8.54296875" style="56" customWidth="1"/>
    <col min="8" max="16384" width="9.1796875" style="56"/>
  </cols>
  <sheetData>
    <row r="1" spans="1:8" ht="13">
      <c r="A1" s="516" t="s">
        <v>43</v>
      </c>
      <c r="B1" s="516"/>
      <c r="C1" s="516"/>
      <c r="D1" s="516"/>
      <c r="E1" s="516"/>
      <c r="F1" s="516"/>
      <c r="G1" s="516"/>
      <c r="H1" s="57"/>
    </row>
    <row r="2" spans="1:8" ht="13">
      <c r="A2" s="57"/>
      <c r="B2" s="516" t="s">
        <v>285</v>
      </c>
      <c r="C2" s="516"/>
      <c r="D2" s="516"/>
      <c r="E2" s="516"/>
      <c r="F2" s="516"/>
      <c r="G2" s="57"/>
      <c r="H2" s="57"/>
    </row>
    <row r="3" spans="1:8" ht="13">
      <c r="A3" s="57"/>
      <c r="B3" s="516" t="s">
        <v>550</v>
      </c>
      <c r="C3" s="516"/>
      <c r="D3" s="516"/>
      <c r="E3" s="516"/>
      <c r="F3" s="516"/>
      <c r="G3" s="57"/>
      <c r="H3" s="57"/>
    </row>
    <row r="4" spans="1:8">
      <c r="A4" s="57"/>
      <c r="B4" s="31"/>
      <c r="C4" s="30"/>
      <c r="D4" s="30"/>
      <c r="E4" s="30"/>
      <c r="F4" s="30"/>
      <c r="G4" s="57"/>
      <c r="H4" s="57"/>
    </row>
    <row r="5" spans="1:8">
      <c r="A5" s="57"/>
      <c r="B5" s="31"/>
      <c r="C5" s="31"/>
      <c r="D5" s="509" t="s">
        <v>44</v>
      </c>
      <c r="E5" s="509"/>
      <c r="F5" s="31"/>
      <c r="G5" s="57"/>
      <c r="H5" s="57"/>
    </row>
    <row r="6" spans="1:8">
      <c r="A6" s="57"/>
      <c r="B6" s="33"/>
      <c r="C6" s="33"/>
      <c r="D6" s="33"/>
      <c r="E6" s="396"/>
      <c r="F6" s="33"/>
      <c r="G6" s="57"/>
      <c r="H6" s="57"/>
    </row>
    <row r="7" spans="1:8">
      <c r="A7" s="57"/>
      <c r="B7" s="33"/>
      <c r="C7" s="32" t="s">
        <v>45</v>
      </c>
      <c r="D7" s="32" t="s">
        <v>46</v>
      </c>
      <c r="E7" s="32" t="s">
        <v>47</v>
      </c>
      <c r="F7" s="32" t="s">
        <v>48</v>
      </c>
      <c r="G7" s="57"/>
      <c r="H7" s="57"/>
    </row>
    <row r="8" spans="1:8" ht="38.25" customHeight="1">
      <c r="A8" s="57"/>
      <c r="B8" s="194" t="s">
        <v>329</v>
      </c>
      <c r="C8" s="194" t="s">
        <v>364</v>
      </c>
      <c r="D8" s="33" t="s">
        <v>348</v>
      </c>
      <c r="E8" s="195" t="s">
        <v>21</v>
      </c>
      <c r="F8" s="194" t="s">
        <v>320</v>
      </c>
      <c r="G8" s="57"/>
      <c r="H8" s="57"/>
    </row>
    <row r="9" spans="1:8" ht="13">
      <c r="A9" s="57"/>
      <c r="B9" s="22"/>
      <c r="C9" s="26"/>
      <c r="D9" s="196"/>
      <c r="E9" s="23"/>
      <c r="F9" s="32" t="s">
        <v>321</v>
      </c>
      <c r="G9" s="57"/>
      <c r="H9" s="57"/>
    </row>
    <row r="10" spans="1:8">
      <c r="A10" s="57"/>
      <c r="B10" s="22">
        <v>1987</v>
      </c>
      <c r="C10" s="26">
        <f>'Exhibit 1'!$C6/'Exhibit 1'!$B6</f>
        <v>0.34496929801425347</v>
      </c>
      <c r="D10" s="364">
        <f>INDEX('Exhibit 2.5.2'!$B$26:$X$26,COUNT($B10:$B$24))</f>
        <v>1.0002926394628899</v>
      </c>
      <c r="E10" s="364">
        <f>INDEX('Exhibit 2.5.2'!$B$27:$W$27,COUNT($B10:$B$24))</f>
        <v>1.0068822282873566</v>
      </c>
      <c r="F10" s="26">
        <f t="shared" ref="F10:F40" si="0">C10*E10</f>
        <v>0.3473434554753167</v>
      </c>
      <c r="G10" s="64"/>
      <c r="H10" s="64"/>
    </row>
    <row r="11" spans="1:8">
      <c r="A11" s="57"/>
      <c r="B11" s="22">
        <f t="shared" ref="B11:B45" si="1">+B10+1</f>
        <v>1988</v>
      </c>
      <c r="C11" s="26">
        <f>'Exhibit 1'!$C7/'Exhibit 1'!$B7</f>
        <v>0.3299328833135915</v>
      </c>
      <c r="D11" s="364">
        <f>INDEX('Exhibit 2.5.2'!$B$26:$X$26,COUNT($B11:$B$24))</f>
        <v>1</v>
      </c>
      <c r="E11" s="364">
        <f>INDEX('Exhibit 2.5.2'!$B$27:$W$27,COUNT($B11:$B$24))</f>
        <v>1.0068822282873566</v>
      </c>
      <c r="F11" s="26">
        <f t="shared" si="0"/>
        <v>0.33220355673606144</v>
      </c>
      <c r="G11" s="64"/>
      <c r="H11" s="64"/>
    </row>
    <row r="12" spans="1:8">
      <c r="A12" s="57"/>
      <c r="B12" s="22">
        <f t="shared" si="1"/>
        <v>1989</v>
      </c>
      <c r="C12" s="26">
        <f>'Exhibit 1'!$C8/'Exhibit 1'!$B8</f>
        <v>0.34236856434074636</v>
      </c>
      <c r="D12" s="364">
        <f>INDEX('Exhibit 2.5.2'!$B$26:$X$26,COUNT($B12:$B$24))</f>
        <v>1.0009999999999999</v>
      </c>
      <c r="E12" s="364">
        <f>INDEX('Exhibit 2.5.2'!$B$27:$W$27,COUNT($B12:$B$24))</f>
        <v>1.0078891105156438</v>
      </c>
      <c r="F12" s="26">
        <f t="shared" si="0"/>
        <v>0.34506954778191279</v>
      </c>
      <c r="G12" s="64"/>
      <c r="H12" s="64"/>
    </row>
    <row r="13" spans="1:8">
      <c r="A13" s="57"/>
      <c r="B13" s="22">
        <f t="shared" si="1"/>
        <v>1990</v>
      </c>
      <c r="C13" s="26">
        <f>'Exhibit 1'!$C9/'Exhibit 1'!$B9</f>
        <v>0.39691220128391635</v>
      </c>
      <c r="D13" s="364">
        <f ca="1">INDEX('Exhibit 2.5.2'!$B$26:$X$26,COUNT($B13:$B$24))</f>
        <v>1.000598160889117</v>
      </c>
      <c r="E13" s="364">
        <f ca="1">INDEX('Exhibit 2.5.2'!$B$27:$W$27,COUNT($B13:$B$24))</f>
        <v>1.0084919903621212</v>
      </c>
      <c r="F13" s="26">
        <f t="shared" ca="1" si="0"/>
        <v>0.4002827758718277</v>
      </c>
      <c r="G13" s="64"/>
      <c r="H13" s="64"/>
    </row>
    <row r="14" spans="1:8">
      <c r="A14" s="57"/>
      <c r="B14" s="22">
        <f t="shared" si="1"/>
        <v>1991</v>
      </c>
      <c r="C14" s="26">
        <f>'Exhibit 1'!$C10/'Exhibit 1'!$B10</f>
        <v>0.42391398847966744</v>
      </c>
      <c r="D14" s="364">
        <f ca="1">INDEX('Exhibit 2.5.2'!$B$26:$X$26,COUNT($B14:$B$24))</f>
        <v>1.0002956888493031</v>
      </c>
      <c r="E14" s="364">
        <f ca="1">INDEX('Exhibit 2.5.2'!$B$27:$W$27,COUNT($B14:$B$24))</f>
        <v>1.0087901901982828</v>
      </c>
      <c r="F14" s="26">
        <f t="shared" ca="1" si="0"/>
        <v>0.42764027306611635</v>
      </c>
      <c r="G14" s="64"/>
      <c r="H14" s="64"/>
    </row>
    <row r="15" spans="1:8">
      <c r="A15" s="57"/>
      <c r="B15" s="22">
        <f t="shared" si="1"/>
        <v>1992</v>
      </c>
      <c r="C15" s="26">
        <f>'Exhibit 1'!$C11/'Exhibit 1'!$B11</f>
        <v>0.3489560755985634</v>
      </c>
      <c r="D15" s="364">
        <f ca="1">INDEX('Exhibit 2.5.2'!$B$26:$X$26,COUNT($B15:$B$24))</f>
        <v>1.0005956685271673</v>
      </c>
      <c r="E15" s="364">
        <f ca="1">INDEX('Exhibit 2.5.2'!$B$27:$W$27,COUNT($B15:$B$24))</f>
        <v>1.009391094765099</v>
      </c>
      <c r="F15" s="26">
        <f t="shared" ca="1" si="0"/>
        <v>0.35223315517336656</v>
      </c>
      <c r="G15" s="64"/>
      <c r="H15" s="64"/>
    </row>
    <row r="16" spans="1:8">
      <c r="A16" s="57"/>
      <c r="B16" s="22">
        <f t="shared" si="1"/>
        <v>1993</v>
      </c>
      <c r="C16" s="26">
        <f>'Exhibit 1'!$C12/'Exhibit 1'!$B12</f>
        <v>0.2862073304822178</v>
      </c>
      <c r="D16" s="364">
        <f ca="1">INDEX('Exhibit 2.5.2'!$B$26:$X$26,COUNT($B16:$B$24))</f>
        <v>1.0008644107700559</v>
      </c>
      <c r="E16" s="364">
        <f ca="1">INDEX('Exhibit 2.5.2'!$B$27:$W$27,COUNT($B16:$B$24))</f>
        <v>1.0102636232986126</v>
      </c>
      <c r="F16" s="26">
        <f t="shared" ca="1" si="0"/>
        <v>0.28914485470758883</v>
      </c>
      <c r="G16" s="64"/>
      <c r="H16" s="64"/>
    </row>
    <row r="17" spans="1:8">
      <c r="A17" s="57"/>
      <c r="B17" s="22">
        <f t="shared" si="1"/>
        <v>1994</v>
      </c>
      <c r="C17" s="26">
        <f>'Exhibit 1'!$C13/'Exhibit 1'!$B13</f>
        <v>0.32496933046515492</v>
      </c>
      <c r="D17" s="364">
        <f ca="1">INDEX('Exhibit 2.5.2'!$B$26:$X$26,COUNT($B17:$B$24))</f>
        <v>1.0008352979128377</v>
      </c>
      <c r="E17" s="364">
        <f ca="1">INDEX('Exhibit 2.5.2'!$B$27:$W$27,COUNT($B17:$B$24))</f>
        <v>1.0111074943945697</v>
      </c>
      <c r="F17" s="26">
        <f t="shared" ca="1" si="0"/>
        <v>0.3285789254817037</v>
      </c>
      <c r="G17" s="64"/>
      <c r="H17" s="64"/>
    </row>
    <row r="18" spans="1:8">
      <c r="A18" s="57"/>
      <c r="B18" s="22">
        <f t="shared" si="1"/>
        <v>1995</v>
      </c>
      <c r="C18" s="26">
        <f>'Exhibit 1'!$C14/'Exhibit 1'!$B14</f>
        <v>0.46825583170294671</v>
      </c>
      <c r="D18" s="364">
        <f ca="1">INDEX('Exhibit 2.5.2'!$B$26:$X$26,COUNT($B18:$B$24))</f>
        <v>1.0008034403814576</v>
      </c>
      <c r="E18" s="364">
        <f ca="1">INDEX('Exhibit 2.5.2'!$B$27:$W$27,COUNT($B18:$B$24))</f>
        <v>1.0119198589855607</v>
      </c>
      <c r="F18" s="26">
        <f t="shared" ca="1" si="0"/>
        <v>0.47383737518601227</v>
      </c>
      <c r="G18" s="64"/>
      <c r="H18" s="64"/>
    </row>
    <row r="19" spans="1:8">
      <c r="A19" s="57"/>
      <c r="B19" s="22">
        <f t="shared" si="1"/>
        <v>1996</v>
      </c>
      <c r="C19" s="26">
        <f>'Exhibit 1'!$C15/'Exhibit 1'!$B15</f>
        <v>0.52528764441810993</v>
      </c>
      <c r="D19" s="364">
        <f ca="1">INDEX('Exhibit 2.5.2'!$B$26:$X$26,COUNT($B19:$B$24))</f>
        <v>1.0013069558191054</v>
      </c>
      <c r="E19" s="364">
        <f ca="1">INDEX('Exhibit 2.5.2'!$B$27:$W$27,COUNT($B19:$B$24))</f>
        <v>1.0132423935337302</v>
      </c>
      <c r="F19" s="26">
        <f t="shared" ca="1" si="0"/>
        <v>0.5322437101239007</v>
      </c>
      <c r="G19" s="64"/>
      <c r="H19" s="64"/>
    </row>
    <row r="20" spans="1:8">
      <c r="A20" s="57"/>
      <c r="B20" s="22">
        <f t="shared" si="1"/>
        <v>1997</v>
      </c>
      <c r="C20" s="26">
        <f>'Exhibit 1'!$C16/'Exhibit 1'!$B16</f>
        <v>0.59442749279153273</v>
      </c>
      <c r="D20" s="364">
        <f ca="1">INDEX('Exhibit 2.5.2'!$B$26:$X$26,COUNT($B20:$B$24))</f>
        <v>1.0012836966323986</v>
      </c>
      <c r="E20" s="364">
        <f ca="1">INDEX('Exhibit 2.5.2'!$B$27:$W$27,COUNT($B20:$B$24))</f>
        <v>1.014543089382113</v>
      </c>
      <c r="F20" s="26">
        <f t="shared" ca="1" si="0"/>
        <v>0.60307230495038533</v>
      </c>
      <c r="G20" s="64"/>
      <c r="H20" s="64"/>
    </row>
    <row r="21" spans="1:8">
      <c r="A21" s="57"/>
      <c r="B21" s="22">
        <f t="shared" si="1"/>
        <v>1998</v>
      </c>
      <c r="C21" s="26">
        <f>'Exhibit 1'!$C17/'Exhibit 1'!$B17</f>
        <v>0.64407042362830214</v>
      </c>
      <c r="D21" s="364">
        <f ca="1">INDEX('Exhibit 2.5.2'!$B$26:$X$26,COUNT($B21:$B$24))</f>
        <v>1.0015222311835648</v>
      </c>
      <c r="E21" s="364">
        <f ca="1">INDEX('Exhibit 2.5.2'!$B$27:$W$27,COUNT($B21:$B$24))</f>
        <v>1.0160874585098405</v>
      </c>
      <c r="F21" s="26">
        <f t="shared" ca="1" si="0"/>
        <v>0.65443187984583784</v>
      </c>
      <c r="G21" s="64"/>
      <c r="H21" s="64"/>
    </row>
    <row r="22" spans="1:8">
      <c r="A22" s="57"/>
      <c r="B22" s="22">
        <f t="shared" si="1"/>
        <v>1999</v>
      </c>
      <c r="C22" s="26">
        <f>'Exhibit 1'!$C18/'Exhibit 1'!$B18</f>
        <v>0.67414064160348453</v>
      </c>
      <c r="D22" s="364">
        <f ca="1">INDEX('Exhibit 2.5.2'!$B$26:$X$26,COUNT($B22:$B$24))</f>
        <v>1.002</v>
      </c>
      <c r="E22" s="364">
        <f ca="1">INDEX('Exhibit 2.5.2'!$B$27:$W$27,COUNT($B22:$B$24))</f>
        <v>1.0181196334268603</v>
      </c>
      <c r="F22" s="26">
        <f t="shared" ca="1" si="0"/>
        <v>0.68635582290748809</v>
      </c>
      <c r="G22" s="64"/>
      <c r="H22" s="64"/>
    </row>
    <row r="23" spans="1:8">
      <c r="A23" s="57"/>
      <c r="B23" s="22">
        <f t="shared" si="1"/>
        <v>2000</v>
      </c>
      <c r="C23" s="26">
        <f>'Exhibit 1'!$C19/'Exhibit 1'!$B19</f>
        <v>0.58289825360621073</v>
      </c>
      <c r="D23" s="364">
        <f ca="1">INDEX('Exhibit 2.5.2'!$B$26:$X$26,COUNT($B23:$B$24))</f>
        <v>1.0023333333333333</v>
      </c>
      <c r="E23" s="364">
        <f ca="1">INDEX('Exhibit 2.5.2'!$B$27:$W$27,COUNT($B23:$B$24))</f>
        <v>1.0204952459048562</v>
      </c>
      <c r="F23" s="26">
        <f t="shared" ca="1" si="0"/>
        <v>0.59484489665138118</v>
      </c>
      <c r="G23" s="64"/>
      <c r="H23" s="64"/>
    </row>
    <row r="24" spans="1:8">
      <c r="A24" s="57"/>
      <c r="B24" s="22">
        <f t="shared" si="1"/>
        <v>2001</v>
      </c>
      <c r="C24" s="26">
        <f>'Exhibit 1'!$C20/'Exhibit 1'!$B20</f>
        <v>0.48297279985041808</v>
      </c>
      <c r="D24" s="364">
        <f ca="1">INDEX('Exhibit 2.5.2'!$B$26:$X$26,COUNT($B24:$B$24))</f>
        <v>1.0023333333333333</v>
      </c>
      <c r="E24" s="364">
        <f ca="1">INDEX('Exhibit 2.5.2'!$B$27:$W$27,COUNT($B24:$B$24))</f>
        <v>1.0228764014786342</v>
      </c>
      <c r="F24" s="23">
        <f t="shared" ca="1" si="0"/>
        <v>0.49402147952305631</v>
      </c>
      <c r="G24" s="64"/>
      <c r="H24" s="64"/>
    </row>
    <row r="25" spans="1:8">
      <c r="A25" s="57"/>
      <c r="B25" s="22">
        <f t="shared" si="1"/>
        <v>2002</v>
      </c>
      <c r="C25" s="26">
        <f>'Exhibit 1'!$C21/'Exhibit 1'!$B21</f>
        <v>0.35961653686066608</v>
      </c>
      <c r="D25" s="23">
        <f ca="1">INDEX('Exhibit 2.5.1'!$B$32:$V$32,COUNT($B25:$B$45))</f>
        <v>1.002</v>
      </c>
      <c r="E25" s="23">
        <f ca="1">INDEX('Exhibit 2.5.1'!$B$33:$V$33,COUNT($B25:$B$45))</f>
        <v>1.0249221542815916</v>
      </c>
      <c r="F25" s="23">
        <f t="shared" ca="1" si="0"/>
        <v>0.36857895567451926</v>
      </c>
      <c r="G25" s="64"/>
      <c r="H25" s="64"/>
    </row>
    <row r="26" spans="1:8">
      <c r="A26" s="57"/>
      <c r="B26" s="22">
        <f t="shared" si="1"/>
        <v>2003</v>
      </c>
      <c r="C26" s="26">
        <f>'Exhibit 1'!$C22/'Exhibit 1'!$B22</f>
        <v>0.23730075218108518</v>
      </c>
      <c r="D26" s="23">
        <f ca="1">INDEX('Exhibit 2.5.1'!$B$32:$V$32,COUNT($B26:$B$45))</f>
        <v>1.0023333333333333</v>
      </c>
      <c r="E26" s="23">
        <f ca="1">INDEX('Exhibit 2.5.1'!$B$33:$V$33,COUNT($B26:$B$45))</f>
        <v>1.0273136393082487</v>
      </c>
      <c r="F26" s="23">
        <f t="shared" ca="1" si="0"/>
        <v>0.24378229933373546</v>
      </c>
      <c r="G26" s="64"/>
      <c r="H26" s="64"/>
    </row>
    <row r="27" spans="1:8">
      <c r="A27" s="57"/>
      <c r="B27" s="22">
        <f t="shared" si="1"/>
        <v>2004</v>
      </c>
      <c r="C27" s="26">
        <f>'Exhibit 1'!$C23/'Exhibit 1'!$B23</f>
        <v>0.14101227071343078</v>
      </c>
      <c r="D27" s="23">
        <f ca="1">INDEX('Exhibit 2.5.1'!$B$32:$V$32,COUNT($B27:$B$45))</f>
        <v>1.0033333333333332</v>
      </c>
      <c r="E27" s="23">
        <f ca="1">INDEX('Exhibit 2.5.1'!$B$33:$V$33,COUNT($B27:$B$45))</f>
        <v>1.0307380181059427</v>
      </c>
      <c r="F27" s="23">
        <f t="shared" ca="1" si="0"/>
        <v>0.14534670844378031</v>
      </c>
      <c r="G27" s="64"/>
      <c r="H27" s="64"/>
    </row>
    <row r="28" spans="1:8">
      <c r="A28" s="57"/>
      <c r="B28" s="22">
        <f t="shared" si="1"/>
        <v>2005</v>
      </c>
      <c r="C28" s="26">
        <f>'Exhibit 1'!$C24/'Exhibit 1'!$B24</f>
        <v>0.12050642892487984</v>
      </c>
      <c r="D28" s="23">
        <f ca="1">INDEX('Exhibit 2.5.1'!$B$32:$V$32,COUNT($B28:$B$45))</f>
        <v>1.0039999999999998</v>
      </c>
      <c r="E28" s="23">
        <f ca="1">INDEX('Exhibit 2.5.1'!$B$33:$V$33,COUNT($B28:$B$45))</f>
        <v>1.0348609701783662</v>
      </c>
      <c r="F28" s="23">
        <f t="shared" ca="1" si="0"/>
        <v>0.12470739994993148</v>
      </c>
      <c r="G28" s="64"/>
      <c r="H28" s="64"/>
    </row>
    <row r="29" spans="1:8">
      <c r="A29" s="57"/>
      <c r="B29" s="22">
        <f t="shared" si="1"/>
        <v>2006</v>
      </c>
      <c r="C29" s="26">
        <f>'Exhibit 1'!$C25/'Exhibit 1'!$B25</f>
        <v>0.15498182447606346</v>
      </c>
      <c r="D29" s="23">
        <f ca="1">INDEX('Exhibit 2.5.1'!$B$32:$V$32,COUNT($B29:$B$45))</f>
        <v>1.0053333333333334</v>
      </c>
      <c r="E29" s="23">
        <f ca="1">INDEX('Exhibit 2.5.1'!$B$33:$V$33,COUNT($B29:$B$45))</f>
        <v>1.0403802286859842</v>
      </c>
      <c r="F29" s="23">
        <f t="shared" ca="1" si="0"/>
        <v>0.16124002599057796</v>
      </c>
      <c r="G29" s="64"/>
      <c r="H29" s="64"/>
    </row>
    <row r="30" spans="1:8">
      <c r="A30" s="57"/>
      <c r="B30" s="22">
        <f t="shared" si="1"/>
        <v>2007</v>
      </c>
      <c r="C30" s="26">
        <f>'Exhibit 1'!$C26/'Exhibit 1'!$B26</f>
        <v>0.21262538684336113</v>
      </c>
      <c r="D30" s="23">
        <f ca="1">INDEX('Exhibit 2.5.1'!$B$32:$V$32,COUNT($B30:$B$45))</f>
        <v>1.0056666666666667</v>
      </c>
      <c r="E30" s="23">
        <f ca="1">INDEX('Exhibit 2.5.1'!$B$33:$V$33,COUNT($B30:$B$45))</f>
        <v>1.0462757166485381</v>
      </c>
      <c r="F30" s="23">
        <f t="shared" ca="1" si="0"/>
        <v>0.22246477899721032</v>
      </c>
      <c r="G30" s="64"/>
      <c r="H30" s="64"/>
    </row>
    <row r="31" spans="1:8">
      <c r="A31" s="57"/>
      <c r="B31" s="22">
        <f t="shared" si="1"/>
        <v>2008</v>
      </c>
      <c r="C31" s="26">
        <f>'Exhibit 1'!$C27/'Exhibit 1'!$B27</f>
        <v>0.26725192936280534</v>
      </c>
      <c r="D31" s="23">
        <f ca="1">INDEX('Exhibit 2.5.1'!$B$32:$V$32,COUNT($B31:$B$45))</f>
        <v>1.0076666666666665</v>
      </c>
      <c r="E31" s="23">
        <f ca="1">INDEX('Exhibit 2.5.1'!$B$33:$V$33,COUNT($B31:$B$45))</f>
        <v>1.05429716380951</v>
      </c>
      <c r="F31" s="23">
        <f t="shared" ca="1" si="0"/>
        <v>0.28176295114982519</v>
      </c>
      <c r="G31" s="64"/>
      <c r="H31" s="64"/>
    </row>
    <row r="32" spans="1:8">
      <c r="A32" s="57"/>
      <c r="B32" s="22">
        <f t="shared" si="1"/>
        <v>2009</v>
      </c>
      <c r="C32" s="26">
        <f>'Exhibit 1'!$C28/'Exhibit 1'!$B28</f>
        <v>0.31082294291511808</v>
      </c>
      <c r="D32" s="23">
        <f ca="1">INDEX('Exhibit 2.5.1'!$B$32:$V$32,COUNT($B32:$B$45))</f>
        <v>1.0076666666666665</v>
      </c>
      <c r="E32" s="23">
        <f ca="1">INDEX('Exhibit 2.5.1'!$B$33:$V$33,COUNT($B32:$B$45))</f>
        <v>1.0623801087320495</v>
      </c>
      <c r="F32" s="23">
        <f t="shared" ca="1" si="0"/>
        <v>0.33021211189057875</v>
      </c>
      <c r="G32" s="64"/>
      <c r="H32" s="64"/>
    </row>
    <row r="33" spans="1:8">
      <c r="A33" s="57"/>
      <c r="B33" s="22">
        <f t="shared" si="1"/>
        <v>2010</v>
      </c>
      <c r="C33" s="26">
        <f>'Exhibit 1'!$C29/'Exhibit 1'!$B29</f>
        <v>0.29665684279581928</v>
      </c>
      <c r="D33" s="23">
        <f ca="1">INDEX('Exhibit 2.5.1'!$B$32:$V$32,COUNT($B33:$B$45))</f>
        <v>1.0106666666666666</v>
      </c>
      <c r="E33" s="23">
        <f ca="1">INDEX('Exhibit 2.5.1'!$B$33:$V$33,COUNT($B33:$B$45))</f>
        <v>1.0737121632251914</v>
      </c>
      <c r="F33" s="23">
        <f t="shared" ca="1" si="0"/>
        <v>0.31852406041385461</v>
      </c>
      <c r="G33" s="64"/>
      <c r="H33" s="64"/>
    </row>
    <row r="34" spans="1:8">
      <c r="A34" s="57"/>
      <c r="B34" s="22">
        <f t="shared" si="1"/>
        <v>2011</v>
      </c>
      <c r="C34" s="26">
        <f>'Exhibit 1'!$C30/'Exhibit 1'!$B30</f>
        <v>0.2727773678285641</v>
      </c>
      <c r="D34" s="23">
        <f ca="1">INDEX('Exhibit 2.5.1'!$B$32:$V$32,COUNT($B34:$B$45))</f>
        <v>1.0116666666666665</v>
      </c>
      <c r="E34" s="23">
        <f ca="1">INDEX('Exhibit 2.5.1'!$B$33:$V$33,COUNT($B34:$B$45))</f>
        <v>1.0862388051294851</v>
      </c>
      <c r="F34" s="23">
        <f t="shared" ca="1" si="0"/>
        <v>0.29630136209646551</v>
      </c>
      <c r="G34" s="57"/>
      <c r="H34" s="64"/>
    </row>
    <row r="35" spans="1:8">
      <c r="A35" s="57"/>
      <c r="B35" s="22">
        <f t="shared" si="1"/>
        <v>2012</v>
      </c>
      <c r="C35" s="26">
        <f>'Exhibit 1'!$C31/'Exhibit 1'!$B31</f>
        <v>0.24120032775373521</v>
      </c>
      <c r="D35" s="23">
        <f ca="1">INDEX('Exhibit 2.5.1'!$B$32:$V$32,COUNT($B35:$B$45))</f>
        <v>1.0109999999999999</v>
      </c>
      <c r="E35" s="23">
        <f ca="1">INDEX('Exhibit 2.5.1'!$B$33:$V$33,COUNT($B35:$B$45))</f>
        <v>1.0981874319859093</v>
      </c>
      <c r="F35" s="23">
        <f t="shared" ca="1" si="0"/>
        <v>0.26488316853003413</v>
      </c>
      <c r="G35" s="57"/>
      <c r="H35" s="64"/>
    </row>
    <row r="36" spans="1:8">
      <c r="A36" s="57"/>
      <c r="B36" s="22">
        <f t="shared" si="1"/>
        <v>2013</v>
      </c>
      <c r="C36" s="26">
        <f>'Exhibit 1'!$C32/'Exhibit 1'!$B32</f>
        <v>0.2025765890776268</v>
      </c>
      <c r="D36" s="23">
        <f ca="1">INDEX('Exhibit 2.5.1'!$B$32:$V$32,COUNT($B36:$B$45))</f>
        <v>1.0143333333333333</v>
      </c>
      <c r="E36" s="23">
        <f ca="1">INDEX('Exhibit 2.5.1'!$B$33:$V$33,COUNT($B36:$B$45))</f>
        <v>1.1139281185110406</v>
      </c>
      <c r="F36" s="23">
        <f t="shared" ca="1" si="0"/>
        <v>0.22565575872562502</v>
      </c>
      <c r="G36" s="57"/>
      <c r="H36" s="64"/>
    </row>
    <row r="37" spans="1:8">
      <c r="A37" s="57"/>
      <c r="B37" s="22">
        <f t="shared" si="1"/>
        <v>2014</v>
      </c>
      <c r="C37" s="26">
        <f>'Exhibit 1'!$C33/'Exhibit 1'!$B33</f>
        <v>0.1891961905847066</v>
      </c>
      <c r="D37" s="23">
        <f ca="1">INDEX('Exhibit 2.5.1'!$B$32:$V$32,COUNT($B37:$B$45))</f>
        <v>1.0156666666666665</v>
      </c>
      <c r="E37" s="23">
        <f ca="1">INDEX('Exhibit 2.5.1'!$B$33:$V$33,COUNT($B37:$B$45))</f>
        <v>1.1313796590343801</v>
      </c>
      <c r="F37" s="23">
        <f t="shared" ca="1" si="0"/>
        <v>0.21405272159432895</v>
      </c>
      <c r="G37" s="57"/>
      <c r="H37" s="64"/>
    </row>
    <row r="38" spans="1:8">
      <c r="A38" s="57"/>
      <c r="B38" s="22">
        <f t="shared" si="1"/>
        <v>2015</v>
      </c>
      <c r="C38" s="26">
        <f>'Exhibit 1'!$C34/'Exhibit 1'!$B34</f>
        <v>0.18161150740057611</v>
      </c>
      <c r="D38" s="23">
        <f ca="1">INDEX('Exhibit 2.5.1'!$B$32:$V$32,COUNT($B38:$B$45))</f>
        <v>1.018</v>
      </c>
      <c r="E38" s="23">
        <f ca="1">INDEX('Exhibit 2.5.1'!$B$33:$V$33,COUNT($B38:$B$45))</f>
        <v>1.1517444928969989</v>
      </c>
      <c r="F38" s="23">
        <f t="shared" ca="1" si="0"/>
        <v>0.20917005349533607</v>
      </c>
      <c r="G38" s="57"/>
      <c r="H38" s="64"/>
    </row>
    <row r="39" spans="1:8">
      <c r="A39" s="57"/>
      <c r="B39" s="22">
        <f t="shared" si="1"/>
        <v>2016</v>
      </c>
      <c r="C39" s="26">
        <f>'Exhibit 1'!$C35/'Exhibit 1'!$B35</f>
        <v>0.1680918010989714</v>
      </c>
      <c r="D39" s="23">
        <f ca="1">INDEX('Exhibit 2.5.1'!$B$32:$V$32,COUNT($B39:$B$45))</f>
        <v>1.026</v>
      </c>
      <c r="E39" s="23">
        <f ca="1">INDEX('Exhibit 2.5.1'!$B$33:$V$33,COUNT($B39:$B$45))</f>
        <v>1.1816898497123209</v>
      </c>
      <c r="F39" s="23">
        <f t="shared" ref="F39" ca="1" si="2">C39*E39</f>
        <v>0.19863237517851687</v>
      </c>
      <c r="G39" s="57"/>
      <c r="H39" s="64"/>
    </row>
    <row r="40" spans="1:8">
      <c r="A40" s="57"/>
      <c r="B40" s="22">
        <f t="shared" si="1"/>
        <v>2017</v>
      </c>
      <c r="C40" s="26">
        <f>'Exhibit 1'!$C36/'Exhibit 1'!$B36</f>
        <v>0.16577501401213759</v>
      </c>
      <c r="D40" s="23">
        <f>VALUE(LEFT(INDEX('Exhibit 2.5.1'!$B$32:$V$32,COUNT($B40:$B$45)),5))</f>
        <v>1.042</v>
      </c>
      <c r="E40" s="23">
        <f ca="1">INDEX('Exhibit 2.5.1'!$B$33:$V$33,COUNT($B40:$B$45))</f>
        <v>1.2312658131661389</v>
      </c>
      <c r="F40" s="23">
        <f t="shared" ca="1" si="0"/>
        <v>0.20411310743028266</v>
      </c>
      <c r="G40" s="57"/>
      <c r="H40" s="64"/>
    </row>
    <row r="41" spans="1:8">
      <c r="A41" s="57"/>
      <c r="B41" s="22">
        <f t="shared" si="1"/>
        <v>2018</v>
      </c>
      <c r="C41" s="26">
        <f>'Exhibit 1'!$C37/'Exhibit 1'!$B37</f>
        <v>0.16548248394052614</v>
      </c>
      <c r="D41" s="23">
        <f>VALUE(LEFT(INDEX('Exhibit 2.5.1'!$B$32:$V$32,COUNT($B41:$B$45)),5))</f>
        <v>1.07</v>
      </c>
      <c r="E41" s="23">
        <f ca="1">INDEX('Exhibit 2.5.1'!$B$33:$V$33,COUNT($B41:$B$45))</f>
        <v>1.3172564260286819</v>
      </c>
      <c r="F41" s="23">
        <f t="shared" ref="F41" ca="1" si="3">C41*E41</f>
        <v>0.21798286536584621</v>
      </c>
      <c r="G41" s="57"/>
      <c r="H41" s="64"/>
    </row>
    <row r="42" spans="1:8">
      <c r="A42" s="57"/>
      <c r="B42" s="22">
        <f t="shared" si="1"/>
        <v>2019</v>
      </c>
      <c r="C42" s="26">
        <f>'Exhibit 1'!$C38/'Exhibit 1'!$B38</f>
        <v>0.1732743666175342</v>
      </c>
      <c r="D42" s="23">
        <f>VALUE(LEFT(INDEX('Exhibit 2.5.1'!$B$32:$V$32,COUNT($B42:$B$45)),5))</f>
        <v>1.1240000000000001</v>
      </c>
      <c r="E42" s="23">
        <f ca="1">INDEX('Exhibit 2.5.1'!$B$33:$V$33,COUNT($B42:$B$45))</f>
        <v>1.4805088143920171</v>
      </c>
      <c r="F42" s="23">
        <f t="shared" ref="F42:F45" ca="1" si="4">C42*E42</f>
        <v>0.25653422708545326</v>
      </c>
      <c r="G42" s="57"/>
      <c r="H42" s="64"/>
    </row>
    <row r="43" spans="1:8">
      <c r="A43" s="57"/>
      <c r="B43" s="22">
        <f t="shared" si="1"/>
        <v>2020</v>
      </c>
      <c r="C43" s="26">
        <f>'Exhibit 1'!$C39/'Exhibit 1'!$B39</f>
        <v>0.14741029256301166</v>
      </c>
      <c r="D43" s="23">
        <f>VALUE(LEFT(INDEX('Exhibit 2.5.1'!$B$32:$V$32,COUNT($B43:$B$45)),5))</f>
        <v>1.242</v>
      </c>
      <c r="E43" s="23">
        <f ca="1">INDEX('Exhibit 2.5.1'!$B$33:$V$33,COUNT($B43:$B$45))</f>
        <v>1.8380791433713861</v>
      </c>
      <c r="F43" s="23">
        <f t="shared" ca="1" si="4"/>
        <v>0.27095178427834588</v>
      </c>
      <c r="G43" s="57"/>
      <c r="H43" s="64"/>
    </row>
    <row r="44" spans="1:8">
      <c r="A44" s="57"/>
      <c r="B44" s="22">
        <f t="shared" si="1"/>
        <v>2021</v>
      </c>
      <c r="C44" s="26">
        <f>'Exhibit 1'!$C40/'Exhibit 1'!$B40</f>
        <v>0.11158864941548581</v>
      </c>
      <c r="D44" s="23">
        <f>VALUE(LEFT(INDEX('Exhibit 2.5.1'!$B$32:$V$32,COUNT($B44:$B$45)),5))</f>
        <v>1.5169999999999999</v>
      </c>
      <c r="E44" s="23">
        <f ca="1">INDEX('Exhibit 2.5.1'!$B$33:$V$33,COUNT($B44:$B$45))</f>
        <v>2.7892567892014841</v>
      </c>
      <c r="F44" s="23">
        <f t="shared" ca="1" si="4"/>
        <v>0.31124939797996803</v>
      </c>
      <c r="G44" s="57"/>
      <c r="H44" s="64"/>
    </row>
    <row r="45" spans="1:8">
      <c r="A45" s="57"/>
      <c r="B45" s="22">
        <f t="shared" si="1"/>
        <v>2022</v>
      </c>
      <c r="C45" s="26">
        <f>'Exhibit 1'!$C41/'Exhibit 1'!$B41</f>
        <v>3.7813043977793927E-2</v>
      </c>
      <c r="D45" s="23">
        <f>VALUE(LEFT(INDEX('Exhibit 2.5.1'!$B$32:$V$32,COUNT($B45:$B$45)),5))</f>
        <v>2.9489999999999998</v>
      </c>
      <c r="E45" s="23">
        <f ca="1">INDEX('Exhibit 2.5.1'!$B$33:$V$33,COUNT($B45:$B$45))</f>
        <v>8.2257627779799805</v>
      </c>
      <c r="F45" s="23">
        <f t="shared" ca="1" si="4"/>
        <v>0.31104112967465736</v>
      </c>
      <c r="G45" s="57"/>
      <c r="H45" s="64"/>
    </row>
    <row r="46" spans="1:8">
      <c r="A46" s="57"/>
      <c r="B46" s="22"/>
      <c r="C46" s="23"/>
      <c r="D46" s="23"/>
      <c r="E46" s="119"/>
      <c r="F46" s="23"/>
      <c r="G46" s="57"/>
      <c r="H46" s="57"/>
    </row>
    <row r="47" spans="1:8" ht="12.75" customHeight="1">
      <c r="A47" s="57"/>
      <c r="B47" s="34" t="s">
        <v>22</v>
      </c>
      <c r="C47" s="127" t="s">
        <v>412</v>
      </c>
      <c r="D47" s="251"/>
      <c r="E47" s="251"/>
      <c r="F47" s="251"/>
      <c r="G47" s="57"/>
      <c r="H47" s="57"/>
    </row>
    <row r="48" spans="1:8">
      <c r="A48" s="57"/>
      <c r="B48" s="34" t="s">
        <v>28</v>
      </c>
      <c r="C48" s="156" t="s">
        <v>282</v>
      </c>
      <c r="D48" s="197"/>
      <c r="E48" s="341"/>
      <c r="F48" s="341"/>
      <c r="G48" s="57"/>
      <c r="H48" s="57"/>
    </row>
  </sheetData>
  <mergeCells count="4">
    <mergeCell ref="A1:G1"/>
    <mergeCell ref="B3:F3"/>
    <mergeCell ref="D5:E5"/>
    <mergeCell ref="B2:F2"/>
  </mergeCells>
  <printOptions horizontalCentered="1"/>
  <pageMargins left="0.5" right="0.5" top="0.75" bottom="0.75" header="0.33" footer="0.33"/>
  <pageSetup orientation="portrait" blackAndWhite="1" r:id="rId1"/>
  <headerFooter scaleWithDoc="0">
    <oddHeader>&amp;R&amp;"Arial,Regular"&amp;10Exhibit 3.1</oddHeader>
  </headerFooter>
  <ignoredErrors>
    <ignoredError sqref="C7:E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G53"/>
  <sheetViews>
    <sheetView zoomScaleNormal="100" zoomScaleSheetLayoutView="100" workbookViewId="0"/>
  </sheetViews>
  <sheetFormatPr defaultColWidth="9.1796875" defaultRowHeight="12.5"/>
  <cols>
    <col min="1" max="1" width="12.81640625" style="56" customWidth="1"/>
    <col min="2" max="3" width="15" style="57" customWidth="1"/>
    <col min="4" max="7" width="13.1796875" style="57" customWidth="1"/>
    <col min="8" max="16384" width="9.1796875" style="56"/>
  </cols>
  <sheetData>
    <row r="1" spans="1:7" ht="13">
      <c r="A1" s="122" t="s">
        <v>49</v>
      </c>
      <c r="B1" s="122"/>
      <c r="C1" s="122"/>
      <c r="D1" s="122"/>
      <c r="E1" s="122"/>
      <c r="F1" s="122"/>
      <c r="G1" s="122"/>
    </row>
    <row r="2" spans="1:7" ht="13">
      <c r="A2" s="122" t="s">
        <v>480</v>
      </c>
      <c r="B2" s="122"/>
      <c r="C2" s="122"/>
      <c r="D2" s="122"/>
      <c r="E2" s="122"/>
      <c r="F2" s="122"/>
      <c r="G2" s="122"/>
    </row>
    <row r="3" spans="1:7" ht="13">
      <c r="A3" s="122" t="s">
        <v>550</v>
      </c>
      <c r="B3" s="122"/>
      <c r="C3" s="122"/>
      <c r="D3" s="122"/>
      <c r="E3" s="122"/>
      <c r="F3" s="122"/>
      <c r="G3" s="122"/>
    </row>
    <row r="4" spans="1:7">
      <c r="A4" s="31"/>
      <c r="B4" s="30"/>
      <c r="C4" s="30"/>
      <c r="D4" s="30"/>
      <c r="E4" s="30"/>
      <c r="F4" s="30"/>
      <c r="G4" s="31"/>
    </row>
    <row r="5" spans="1:7">
      <c r="A5" s="31"/>
      <c r="B5" s="32" t="s">
        <v>45</v>
      </c>
      <c r="C5" s="32" t="s">
        <v>46</v>
      </c>
      <c r="D5" s="32" t="s">
        <v>47</v>
      </c>
      <c r="E5" s="32" t="s">
        <v>48</v>
      </c>
      <c r="F5" s="32" t="s">
        <v>50</v>
      </c>
      <c r="G5" s="32" t="s">
        <v>51</v>
      </c>
    </row>
    <row r="6" spans="1:7" ht="13">
      <c r="A6" s="31"/>
      <c r="B6" s="31"/>
      <c r="C6" s="517" t="s">
        <v>314</v>
      </c>
      <c r="D6" s="517"/>
      <c r="E6" s="517"/>
      <c r="F6" s="517"/>
      <c r="G6" s="517"/>
    </row>
    <row r="7" spans="1:7">
      <c r="A7" s="57"/>
      <c r="D7" s="518" t="s">
        <v>44</v>
      </c>
      <c r="E7" s="518"/>
    </row>
    <row r="8" spans="1:7">
      <c r="A8" s="31"/>
      <c r="B8" s="31"/>
      <c r="C8" s="31" t="s">
        <v>52</v>
      </c>
      <c r="E8" s="207"/>
      <c r="F8" s="31" t="s">
        <v>52</v>
      </c>
      <c r="G8" s="31" t="s">
        <v>53</v>
      </c>
    </row>
    <row r="9" spans="1:7">
      <c r="A9" s="31" t="s">
        <v>54</v>
      </c>
      <c r="B9" s="31" t="s">
        <v>365</v>
      </c>
      <c r="C9" s="31" t="s">
        <v>365</v>
      </c>
      <c r="E9" s="206"/>
      <c r="F9" s="31" t="s">
        <v>324</v>
      </c>
      <c r="G9" s="31" t="s">
        <v>55</v>
      </c>
    </row>
    <row r="10" spans="1:7">
      <c r="A10" s="33" t="s">
        <v>8</v>
      </c>
      <c r="B10" s="33" t="s">
        <v>334</v>
      </c>
      <c r="C10" s="33" t="s">
        <v>325</v>
      </c>
      <c r="D10" s="33" t="s">
        <v>347</v>
      </c>
      <c r="E10" s="33" t="s">
        <v>414</v>
      </c>
      <c r="F10" s="33" t="s">
        <v>326</v>
      </c>
      <c r="G10" s="33" t="s">
        <v>56</v>
      </c>
    </row>
    <row r="11" spans="1:7">
      <c r="A11" s="31"/>
      <c r="B11" s="34"/>
      <c r="C11" s="31"/>
      <c r="D11" s="31"/>
      <c r="E11" s="31"/>
      <c r="F11" s="31" t="s">
        <v>367</v>
      </c>
      <c r="G11" s="31" t="s">
        <v>368</v>
      </c>
    </row>
    <row r="12" spans="1:7">
      <c r="A12" s="22">
        <v>1987</v>
      </c>
      <c r="B12" s="26">
        <f>'Exhibit 1'!$E6/'Exhibit 1'!$B6</f>
        <v>0.30738626423475002</v>
      </c>
      <c r="C12" s="445">
        <v>0.27238686342084334</v>
      </c>
      <c r="D12" s="364">
        <f>INDEX('Exhibit 2.6.2'!$B$26:$R$26,COUNT($A12:$A$26))</f>
        <v>1.0014000000000001</v>
      </c>
      <c r="E12" s="364">
        <f>INDEX('Exhibit 2.6.2'!$B$27:$R$27,COUNT($A12:$A$26))</f>
        <v>1.0512372946680002</v>
      </c>
      <c r="F12" s="26">
        <f t="shared" ref="F12:F47" si="0">C12*E12</f>
        <v>0.2863432294056294</v>
      </c>
      <c r="G12" s="26">
        <f t="shared" ref="G12:G47" si="1">B12+F12-C12</f>
        <v>0.32134263021953607</v>
      </c>
    </row>
    <row r="13" spans="1:7">
      <c r="A13" s="22">
        <f t="shared" ref="A13:A39" si="2">+A12+1</f>
        <v>1988</v>
      </c>
      <c r="B13" s="26">
        <f>'Exhibit 1'!$E7/'Exhibit 1'!$B7</f>
        <v>0.30029942026313283</v>
      </c>
      <c r="C13" s="446">
        <v>0.26626186944177627</v>
      </c>
      <c r="D13" s="364">
        <f>INDEX('Exhibit 2.6.2'!$B$26:$R$26,COUNT($A13:$A$26))</f>
        <v>1.0024</v>
      </c>
      <c r="E13" s="364">
        <f>INDEX('Exhibit 2.6.2'!$B$27:$R$27,COUNT($A13:$A$26))</f>
        <v>1.0537602641752033</v>
      </c>
      <c r="F13" s="26">
        <f t="shared" si="0"/>
        <v>0.28057617788274963</v>
      </c>
      <c r="G13" s="26">
        <f t="shared" si="1"/>
        <v>0.31461372870410614</v>
      </c>
    </row>
    <row r="14" spans="1:7">
      <c r="A14" s="22">
        <f t="shared" si="2"/>
        <v>1989</v>
      </c>
      <c r="B14" s="26">
        <f>'Exhibit 1'!$E8/'Exhibit 1'!$B8</f>
        <v>0.31949587609335178</v>
      </c>
      <c r="C14" s="446">
        <v>0.28322773611141466</v>
      </c>
      <c r="D14" s="364">
        <f>INDEX('Exhibit 2.6.2'!$B$26:$R$26,COUNT($A14:$A$26))</f>
        <v>1.0034000000000001</v>
      </c>
      <c r="E14" s="364">
        <f>INDEX('Exhibit 2.6.2'!$B$27:$R$27,COUNT($A14:$A$26))</f>
        <v>1.057343049073399</v>
      </c>
      <c r="F14" s="26">
        <f t="shared" si="0"/>
        <v>0.29946887808219924</v>
      </c>
      <c r="G14" s="26">
        <f t="shared" si="1"/>
        <v>0.33573701806413631</v>
      </c>
    </row>
    <row r="15" spans="1:7">
      <c r="A15" s="22">
        <f t="shared" si="2"/>
        <v>1990</v>
      </c>
      <c r="B15" s="26">
        <f>'Exhibit 1'!$E9/'Exhibit 1'!$B9</f>
        <v>0.36075864386741158</v>
      </c>
      <c r="C15" s="446">
        <v>0.31986560115285734</v>
      </c>
      <c r="D15" s="364">
        <f ca="1">INDEX('Exhibit 2.6.2'!$B$26:$R$26,COUNT($A15:$A$26))</f>
        <v>1.0023926435564687</v>
      </c>
      <c r="E15" s="364">
        <f ca="1">INDEX('Exhibit 2.6.2'!$B$27:$R$27,COUNT($A15:$A$26))</f>
        <v>1.0598728941067415</v>
      </c>
      <c r="F15" s="26">
        <f t="shared" ca="1" si="0"/>
        <v>0.33901688041907158</v>
      </c>
      <c r="G15" s="26">
        <f t="shared" ca="1" si="1"/>
        <v>0.37990992313362582</v>
      </c>
    </row>
    <row r="16" spans="1:7">
      <c r="A16" s="22">
        <f t="shared" si="2"/>
        <v>1991</v>
      </c>
      <c r="B16" s="26">
        <f>'Exhibit 1'!$E10/'Exhibit 1'!$B10</f>
        <v>0.37788572185104524</v>
      </c>
      <c r="C16" s="446">
        <v>0.33529904143755301</v>
      </c>
      <c r="D16" s="364">
        <f ca="1">INDEX('Exhibit 2.6.2'!$B$26:$R$26,COUNT($A16:$A$26))</f>
        <v>1.0014784442465154</v>
      </c>
      <c r="E16" s="364">
        <f ca="1">INDEX('Exhibit 2.6.2'!$B$27:$R$27,COUNT($A16:$A$26))</f>
        <v>1.0614398570890713</v>
      </c>
      <c r="F16" s="26">
        <f t="shared" ca="1" si="0"/>
        <v>0.35589976662557887</v>
      </c>
      <c r="G16" s="26">
        <f t="shared" ca="1" si="1"/>
        <v>0.39848644703907116</v>
      </c>
    </row>
    <row r="17" spans="1:7">
      <c r="A17" s="22">
        <f t="shared" si="2"/>
        <v>1992</v>
      </c>
      <c r="B17" s="26">
        <f>'Exhibit 1'!$E11/'Exhibit 1'!$B11</f>
        <v>0.31274919710228688</v>
      </c>
      <c r="C17" s="446">
        <v>0.27773822875619009</v>
      </c>
      <c r="D17" s="364">
        <f ca="1">INDEX('Exhibit 2.6.2'!$B$26:$R$26,COUNT($A17:$A$26))</f>
        <v>1.0032761768994205</v>
      </c>
      <c r="E17" s="364">
        <f ca="1">INDEX('Exhibit 2.6.2'!$B$27:$R$27,COUNT($A17:$A$26))</f>
        <v>1.0649173218289907</v>
      </c>
      <c r="F17" s="26">
        <f t="shared" ca="1" si="0"/>
        <v>0.29576825073656954</v>
      </c>
      <c r="G17" s="26">
        <f t="shared" ca="1" si="1"/>
        <v>0.33077921908266633</v>
      </c>
    </row>
    <row r="18" spans="1:7">
      <c r="A18" s="22">
        <f t="shared" si="2"/>
        <v>1993</v>
      </c>
      <c r="B18" s="26">
        <f>'Exhibit 1'!$E12/'Exhibit 1'!$B12</f>
        <v>0.25731393899261906</v>
      </c>
      <c r="C18" s="446">
        <v>0.22847812727053435</v>
      </c>
      <c r="D18" s="364">
        <f ca="1">INDEX('Exhibit 2.6.2'!$B$26:$R$26,COUNT($A18:$A$26))</f>
        <v>1.0017288215401119</v>
      </c>
      <c r="E18" s="364">
        <f ca="1">INDEX('Exhibit 2.6.2'!$B$27:$R$27,COUNT($A18:$A$26))</f>
        <v>1.066758373833407</v>
      </c>
      <c r="F18" s="26">
        <f t="shared" ca="1" si="0"/>
        <v>0.24373095550361742</v>
      </c>
      <c r="G18" s="26">
        <f t="shared" ca="1" si="1"/>
        <v>0.27256676722570211</v>
      </c>
    </row>
    <row r="19" spans="1:7">
      <c r="A19" s="22">
        <f t="shared" si="2"/>
        <v>1994</v>
      </c>
      <c r="B19" s="26">
        <f>'Exhibit 1'!$E13/'Exhibit 1'!$B13</f>
        <v>0.29532745916488828</v>
      </c>
      <c r="C19" s="446">
        <v>0.2625038644066876</v>
      </c>
      <c r="D19" s="364">
        <f ca="1">INDEX('Exhibit 2.6.2'!$B$26:$R$26,COUNT($A19:$A$26))</f>
        <v>1.0022274611009006</v>
      </c>
      <c r="E19" s="364">
        <f ca="1">INDEX('Exhibit 2.6.2'!$B$27:$R$27,COUNT($A19:$A$26))</f>
        <v>1.0691345366151808</v>
      </c>
      <c r="F19" s="26">
        <f t="shared" ca="1" si="0"/>
        <v>0.28065194743213817</v>
      </c>
      <c r="G19" s="26">
        <f t="shared" ca="1" si="1"/>
        <v>0.31347554219033891</v>
      </c>
    </row>
    <row r="20" spans="1:7">
      <c r="A20" s="22">
        <f t="shared" si="2"/>
        <v>1995</v>
      </c>
      <c r="B20" s="26">
        <f>'Exhibit 1'!$E14/'Exhibit 1'!$B14</f>
        <v>0.43504876009656385</v>
      </c>
      <c r="C20" s="446">
        <v>0.38717671286248584</v>
      </c>
      <c r="D20" s="364">
        <f ca="1">INDEX('Exhibit 2.6.2'!$B$26:$R$26,COUNT($A20:$A$26))</f>
        <v>1.0029459480653451</v>
      </c>
      <c r="E20" s="364">
        <f ca="1">INDEX('Exhibit 2.6.2'!$B$27:$R$27,COUNT($A20:$A$26))</f>
        <v>1.072284151434916</v>
      </c>
      <c r="F20" s="26">
        <f t="shared" ca="1" si="0"/>
        <v>0.41516345300711072</v>
      </c>
      <c r="G20" s="26">
        <f t="shared" ca="1" si="1"/>
        <v>0.46303550024118872</v>
      </c>
    </row>
    <row r="21" spans="1:7">
      <c r="A21" s="22">
        <f t="shared" si="2"/>
        <v>1996</v>
      </c>
      <c r="B21" s="26">
        <f>'Exhibit 1'!$E15/'Exhibit 1'!$B15</f>
        <v>0.46577751191017447</v>
      </c>
      <c r="C21" s="446">
        <v>0.41450239194607902</v>
      </c>
      <c r="D21" s="364">
        <f ca="1">INDEX('Exhibit 2.6.2'!$B$26:$R$26,COUNT($A21:$A$26))</f>
        <v>1.0031366939658528</v>
      </c>
      <c r="E21" s="364">
        <f ca="1">INDEX('Exhibit 2.6.2'!$B$27:$R$27,COUNT($A21:$A$26))</f>
        <v>1.0756475786624013</v>
      </c>
      <c r="F21" s="26">
        <f t="shared" ca="1" si="0"/>
        <v>0.44585849424657353</v>
      </c>
      <c r="G21" s="26">
        <f t="shared" ca="1" si="1"/>
        <v>0.49713361421066898</v>
      </c>
    </row>
    <row r="22" spans="1:7">
      <c r="A22" s="22">
        <f t="shared" si="2"/>
        <v>1997</v>
      </c>
      <c r="B22" s="26">
        <f>'Exhibit 1'!$E16/'Exhibit 1'!$B16</f>
        <v>0.52136414034960998</v>
      </c>
      <c r="C22" s="446">
        <v>0.4640794960360155</v>
      </c>
      <c r="D22" s="364">
        <f ca="1">INDEX('Exhibit 2.6.2'!$B$26:$R$26,COUNT($A22:$A$26))</f>
        <v>1.0043645685501552</v>
      </c>
      <c r="E22" s="364">
        <f ca="1">INDEX('Exhibit 2.6.2'!$B$27:$R$27,COUNT($A22:$A$26))</f>
        <v>1.0803423162552819</v>
      </c>
      <c r="F22" s="26">
        <f t="shared" ca="1" si="0"/>
        <v>0.50136471767413293</v>
      </c>
      <c r="G22" s="26">
        <f t="shared" ca="1" si="1"/>
        <v>0.55864936198772752</v>
      </c>
    </row>
    <row r="23" spans="1:7">
      <c r="A23" s="22">
        <f t="shared" si="2"/>
        <v>1998</v>
      </c>
      <c r="B23" s="26">
        <f>'Exhibit 1'!$E17/'Exhibit 1'!$B17</f>
        <v>0.62304504849845543</v>
      </c>
      <c r="C23" s="446">
        <v>0.5557614755035849</v>
      </c>
      <c r="D23" s="364">
        <f ca="1">INDEX('Exhibit 2.6.2'!$B$26:$R$26,COUNT($A23:$A$26))</f>
        <v>1.0040592831561723</v>
      </c>
      <c r="E23" s="364">
        <f ca="1">INDEX('Exhibit 2.6.2'!$B$27:$R$27,COUNT($A23:$A$26))</f>
        <v>1.0847277316225572</v>
      </c>
      <c r="F23" s="26">
        <f t="shared" ca="1" si="0"/>
        <v>0.60284988464620903</v>
      </c>
      <c r="G23" s="26">
        <f t="shared" ca="1" si="1"/>
        <v>0.67013345764107957</v>
      </c>
    </row>
    <row r="24" spans="1:7">
      <c r="A24" s="22">
        <f t="shared" si="2"/>
        <v>1999</v>
      </c>
      <c r="B24" s="26">
        <f>'Exhibit 1'!$E18/'Exhibit 1'!$B18</f>
        <v>0.67990045147039779</v>
      </c>
      <c r="C24" s="446">
        <v>0.60720780648357064</v>
      </c>
      <c r="D24" s="364">
        <f>INDEX('Exhibit 2.6.2'!$B$26:$R$26,COUNT($A24:$A$26))</f>
        <v>1.006</v>
      </c>
      <c r="E24" s="364">
        <f ca="1">INDEX('Exhibit 2.6.2'!$B$27:$R$27,COUNT($A24:$A$26))</f>
        <v>1.0912360980122926</v>
      </c>
      <c r="F24" s="26">
        <f t="shared" ca="1" si="0"/>
        <v>0.6626070774297349</v>
      </c>
      <c r="G24" s="26">
        <f t="shared" ca="1" si="1"/>
        <v>0.73529972241656205</v>
      </c>
    </row>
    <row r="25" spans="1:7">
      <c r="A25" s="22">
        <f t="shared" si="2"/>
        <v>2000</v>
      </c>
      <c r="B25" s="26">
        <f>'Exhibit 1'!$E19/'Exhibit 1'!$B19</f>
        <v>0.61252834307984949</v>
      </c>
      <c r="C25" s="446">
        <v>0.54757133594885865</v>
      </c>
      <c r="D25" s="364">
        <f>INDEX('Exhibit 2.6.2'!$B$26:$R$26,COUNT($A25:$A$26))</f>
        <v>1.0053333333333334</v>
      </c>
      <c r="E25" s="364">
        <f ca="1">INDEX('Exhibit 2.6.2'!$B$27:$R$27,COUNT($A25:$A$26))</f>
        <v>1.0970560238683582</v>
      </c>
      <c r="F25" s="26">
        <f t="shared" ca="1" si="0"/>
        <v>0.60071643260033991</v>
      </c>
      <c r="G25" s="26">
        <f t="shared" ca="1" si="1"/>
        <v>0.66567343973133075</v>
      </c>
    </row>
    <row r="26" spans="1:7">
      <c r="A26" s="22">
        <f t="shared" si="2"/>
        <v>2001</v>
      </c>
      <c r="B26" s="26">
        <f>'Exhibit 1'!$E20/'Exhibit 1'!$B20</f>
        <v>0.54012527154303547</v>
      </c>
      <c r="C26" s="446">
        <v>0.484801787936539</v>
      </c>
      <c r="D26" s="364">
        <f>INDEX('Exhibit 2.6.2'!$B$26:$R$26,COUNT($A26:$A$26))</f>
        <v>1.006</v>
      </c>
      <c r="E26" s="364">
        <f ca="1">INDEX('Exhibit 2.6.2'!$B$27:$R$27,COUNT($A26:$A$26))</f>
        <v>1.1036383600115685</v>
      </c>
      <c r="F26" s="26">
        <f t="shared" ca="1" si="0"/>
        <v>0.53504585016895811</v>
      </c>
      <c r="G26" s="26">
        <f t="shared" ca="1" si="1"/>
        <v>0.59036933377545453</v>
      </c>
    </row>
    <row r="27" spans="1:7">
      <c r="A27" s="22">
        <f t="shared" si="2"/>
        <v>2002</v>
      </c>
      <c r="B27" s="23">
        <f>'Exhibit 1'!$E21/'Exhibit 1'!$B21</f>
        <v>0.41681679047315928</v>
      </c>
      <c r="C27" s="155">
        <v>0.37530830148756472</v>
      </c>
      <c r="D27" s="23">
        <f>INDEX('Exhibit 2.6.1'!$B$29:$V$29,COUNT($B27:$B$47))</f>
        <v>1.0053333333333334</v>
      </c>
      <c r="E27" s="23">
        <f ca="1">INDEX('Exhibit 2.6.1'!$B$32:$V$32,COUNT($B27:$B$47))</f>
        <v>1.1095244312649635</v>
      </c>
      <c r="F27" s="23">
        <f t="shared" ca="1" si="0"/>
        <v>0.41641372975700969</v>
      </c>
      <c r="G27" s="23">
        <f t="shared" ca="1" si="1"/>
        <v>0.45792221874260425</v>
      </c>
    </row>
    <row r="28" spans="1:7">
      <c r="A28" s="22">
        <f t="shared" si="2"/>
        <v>2003</v>
      </c>
      <c r="B28" s="23">
        <f>'Exhibit 1'!$E22/'Exhibit 1'!$B22</f>
        <v>0.26605819618168175</v>
      </c>
      <c r="C28" s="155">
        <v>0.24033457557312868</v>
      </c>
      <c r="D28" s="23">
        <f>INDEX('Exhibit 2.6.1'!$B$29:$V$29,COUNT($B28:$B$47))</f>
        <v>1.0056666666666667</v>
      </c>
      <c r="E28" s="23">
        <f ca="1">INDEX('Exhibit 2.6.1'!$B$32:$V$32,COUNT($B28:$B$47))</f>
        <v>1.1158117363754649</v>
      </c>
      <c r="F28" s="23">
        <f t="shared" ca="1" si="0"/>
        <v>0.26816814008131312</v>
      </c>
      <c r="G28" s="23">
        <f t="shared" ca="1" si="1"/>
        <v>0.29389176068986622</v>
      </c>
    </row>
    <row r="29" spans="1:7">
      <c r="A29" s="22">
        <f t="shared" si="2"/>
        <v>2004</v>
      </c>
      <c r="B29" s="23">
        <f>'Exhibit 1'!$E23/'Exhibit 1'!$B23</f>
        <v>0.17942082177018132</v>
      </c>
      <c r="C29" s="155">
        <v>0.16242415451562142</v>
      </c>
      <c r="D29" s="23">
        <f>INDEX('Exhibit 2.6.1'!$B$29:$V$29,COUNT($B29:$B$47))</f>
        <v>1.0073333333333332</v>
      </c>
      <c r="E29" s="23">
        <f ca="1">INDEX('Exhibit 2.6.1'!$B$32:$V$32,COUNT($B29:$B$47))</f>
        <v>1.1239943557755516</v>
      </c>
      <c r="F29" s="23">
        <f t="shared" ca="1" si="0"/>
        <v>0.18256383291717457</v>
      </c>
      <c r="G29" s="23">
        <f t="shared" ca="1" si="1"/>
        <v>0.19956050017173443</v>
      </c>
    </row>
    <row r="30" spans="1:7">
      <c r="A30" s="22">
        <f t="shared" si="2"/>
        <v>2005</v>
      </c>
      <c r="B30" s="23">
        <f>'Exhibit 1'!$E24/'Exhibit 1'!$B24</f>
        <v>0.17498742064648617</v>
      </c>
      <c r="C30" s="155">
        <v>0.15869039742819235</v>
      </c>
      <c r="D30" s="23">
        <f>INDEX('Exhibit 2.6.1'!$B$29:$V$29,COUNT($B30:$B$47))</f>
        <v>1.008</v>
      </c>
      <c r="E30" s="23">
        <f ca="1">INDEX('Exhibit 2.6.1'!$B$32:$V$32,COUNT($B30:$B$47))</f>
        <v>1.1329863106217561</v>
      </c>
      <c r="F30" s="23">
        <f t="shared" ca="1" si="0"/>
        <v>0.17979404791326786</v>
      </c>
      <c r="G30" s="23">
        <f t="shared" ca="1" si="1"/>
        <v>0.19609107113156166</v>
      </c>
    </row>
    <row r="31" spans="1:7">
      <c r="A31" s="22">
        <f t="shared" si="2"/>
        <v>2006</v>
      </c>
      <c r="B31" s="23">
        <f>'Exhibit 1'!$E25/'Exhibit 1'!$B25</f>
        <v>0.22412093306616412</v>
      </c>
      <c r="C31" s="155">
        <v>0.20403459875300861</v>
      </c>
      <c r="D31" s="23">
        <f>INDEX('Exhibit 2.6.1'!$B$29:$V$29,COUNT($B31:$B$47))</f>
        <v>1.0090000000000001</v>
      </c>
      <c r="E31" s="23">
        <f ca="1">INDEX('Exhibit 2.6.1'!$B$32:$V$32,COUNT($B31:$B$47))</f>
        <v>1.1431831874173521</v>
      </c>
      <c r="F31" s="23">
        <f t="shared" ca="1" si="0"/>
        <v>0.2332489229458849</v>
      </c>
      <c r="G31" s="23">
        <f t="shared" ca="1" si="1"/>
        <v>0.25333525725904044</v>
      </c>
    </row>
    <row r="32" spans="1:7">
      <c r="A32" s="22">
        <f t="shared" si="2"/>
        <v>2007</v>
      </c>
      <c r="B32" s="23">
        <f>'Exhibit 1'!$E26/'Exhibit 1'!$B26</f>
        <v>0.31164119945479674</v>
      </c>
      <c r="C32" s="155">
        <v>0.2847860492820708</v>
      </c>
      <c r="D32" s="23">
        <f>INDEX('Exhibit 2.6.1'!$B$29:$V$29,COUNT($B32:$B$47))</f>
        <v>1.0089999999999999</v>
      </c>
      <c r="E32" s="23">
        <f ca="1">INDEX('Exhibit 2.6.1'!$B$32:$V$32,COUNT($B32:$B$47))</f>
        <v>1.1534718361041081</v>
      </c>
      <c r="F32" s="23">
        <f t="shared" ca="1" si="0"/>
        <v>0.32849268716222524</v>
      </c>
      <c r="G32" s="23">
        <f t="shared" ca="1" si="1"/>
        <v>0.35534783733495118</v>
      </c>
    </row>
    <row r="33" spans="1:7">
      <c r="A33" s="22">
        <f t="shared" si="2"/>
        <v>2008</v>
      </c>
      <c r="B33" s="23">
        <f>'Exhibit 1'!$E27/'Exhibit 1'!$B27</f>
        <v>0.38422148963644021</v>
      </c>
      <c r="C33" s="155">
        <v>0.35280211855195082</v>
      </c>
      <c r="D33" s="23">
        <f>INDEX('Exhibit 2.6.1'!$B$29:$V$29,COUNT($B33:$B$47))</f>
        <v>1.0106666666666666</v>
      </c>
      <c r="E33" s="23">
        <f ca="1">INDEX('Exhibit 2.6.1'!$B$32:$V$32,COUNT($B33:$B$47))</f>
        <v>1.1657755356892185</v>
      </c>
      <c r="F33" s="23">
        <f t="shared" ca="1" si="0"/>
        <v>0.41128807874719164</v>
      </c>
      <c r="G33" s="23">
        <f t="shared" ca="1" si="1"/>
        <v>0.44270744983168103</v>
      </c>
    </row>
    <row r="34" spans="1:7">
      <c r="A34" s="22">
        <f t="shared" si="2"/>
        <v>2009</v>
      </c>
      <c r="B34" s="23">
        <f>'Exhibit 1'!$E28/'Exhibit 1'!$B28</f>
        <v>0.44502774815073309</v>
      </c>
      <c r="C34" s="155">
        <v>0.41166192670403068</v>
      </c>
      <c r="D34" s="23">
        <f>INDEX('Exhibit 2.6.1'!$B$29:$V$29,COUNT($B34:$B$47))</f>
        <v>1.0103333333333333</v>
      </c>
      <c r="E34" s="23">
        <f ca="1">INDEX('Exhibit 2.6.1'!$B$32:$V$32,COUNT($B34:$B$47))</f>
        <v>1.1778218828913405</v>
      </c>
      <c r="F34" s="23">
        <f t="shared" ca="1" si="0"/>
        <v>0.48486442562521842</v>
      </c>
      <c r="G34" s="23">
        <f t="shared" ca="1" si="1"/>
        <v>0.51823024707192089</v>
      </c>
    </row>
    <row r="35" spans="1:7">
      <c r="A35" s="323">
        <f t="shared" si="2"/>
        <v>2010</v>
      </c>
      <c r="B35" s="29">
        <f>'Exhibit 1'!$E29/'Exhibit 1'!$B29</f>
        <v>0.43233243154688067</v>
      </c>
      <c r="C35" s="447">
        <v>0.40177769462915125</v>
      </c>
      <c r="D35" s="448">
        <f>INDEX('Exhibit 2.6.1'!$B$29:$V$29,COUNT($B35:$B$47))</f>
        <v>1.0113333333333332</v>
      </c>
      <c r="E35" s="448">
        <f ca="1">INDEX('Exhibit 2.6.1'!$B$32:$V$32,COUNT($B35:$B$47))</f>
        <v>1.1911705308974423</v>
      </c>
      <c r="F35" s="29">
        <f t="shared" ca="1" si="0"/>
        <v>0.47858574981415652</v>
      </c>
      <c r="G35" s="29">
        <f t="shared" ca="1" si="1"/>
        <v>0.50914048673188594</v>
      </c>
    </row>
    <row r="36" spans="1:7">
      <c r="A36" s="22">
        <f t="shared" si="2"/>
        <v>2011</v>
      </c>
      <c r="B36" s="23">
        <f>'Exhibit 1'!$E30/'Exhibit 1'!$B30</f>
        <v>0.36441240394946717</v>
      </c>
      <c r="C36" s="155">
        <v>0.34238100591314719</v>
      </c>
      <c r="D36" s="24">
        <f>INDEX('Exhibit 2.6.1'!$B$29:$V$29,COUNT($B36:$B$47))</f>
        <v>1.0123333333333331</v>
      </c>
      <c r="E36" s="24">
        <f ca="1">INDEX('Exhibit 2.6.1'!$B$32:$V$32,COUNT($B36:$B$47))</f>
        <v>1.2058616341118438</v>
      </c>
      <c r="F36" s="23">
        <f t="shared" ca="1" si="0"/>
        <v>0.41286411927928451</v>
      </c>
      <c r="G36" s="23">
        <f t="shared" ca="1" si="1"/>
        <v>0.43489551731560455</v>
      </c>
    </row>
    <row r="37" spans="1:7">
      <c r="A37" s="22">
        <f t="shared" si="2"/>
        <v>2012</v>
      </c>
      <c r="B37" s="23">
        <f>'Exhibit 1'!$E31/'Exhibit 1'!$B31</f>
        <v>0.30866459321510337</v>
      </c>
      <c r="C37" s="155">
        <v>0.29265262720909002</v>
      </c>
      <c r="D37" s="23">
        <f>INDEX('Exhibit 2.6.1'!$B$29:$V$29,COUNT($B37:$B$47))</f>
        <v>1.0133333333333334</v>
      </c>
      <c r="E37" s="23">
        <f ca="1">INDEX('Exhibit 2.6.1'!$B$32:$V$32,COUNT($B37:$B$47))</f>
        <v>1.221939789233335</v>
      </c>
      <c r="F37" s="23">
        <f t="shared" ca="1" si="0"/>
        <v>0.35760388961045725</v>
      </c>
      <c r="G37" s="23">
        <f t="shared" ca="1" si="1"/>
        <v>0.37361585561647059</v>
      </c>
    </row>
    <row r="38" spans="1:7">
      <c r="A38" s="22">
        <f t="shared" si="2"/>
        <v>2013</v>
      </c>
      <c r="B38" s="23">
        <f>'Exhibit 1'!$E32/'Exhibit 1'!$B32</f>
        <v>0.24420588244782268</v>
      </c>
      <c r="C38" s="155">
        <v>0.24394085029239587</v>
      </c>
      <c r="D38" s="23">
        <f>INDEX('Exhibit 2.6.1'!$B$29:$V$29,COUNT($B38:$B$47))</f>
        <v>1.0166666666666666</v>
      </c>
      <c r="E38" s="23">
        <f ca="1">INDEX('Exhibit 2.6.1'!$B$32:$V$32,COUNT($B38:$B$47))</f>
        <v>1.2423054523872239</v>
      </c>
      <c r="F38" s="23">
        <f t="shared" ca="1" si="0"/>
        <v>0.30304904837821889</v>
      </c>
      <c r="G38" s="23">
        <f t="shared" ca="1" si="1"/>
        <v>0.30331408053364572</v>
      </c>
    </row>
    <row r="39" spans="1:7">
      <c r="A39" s="22">
        <f t="shared" si="2"/>
        <v>2014</v>
      </c>
      <c r="B39" s="23">
        <f>'Exhibit 1'!$E33/'Exhibit 1'!$B33</f>
        <v>0.21433348778753647</v>
      </c>
      <c r="C39" s="155">
        <v>0.21818631808089833</v>
      </c>
      <c r="D39" s="23">
        <f>INDEX('Exhibit 2.6.1'!$B$29:$V$29,COUNT($B39:$B$47))</f>
        <v>1.0183333333333333</v>
      </c>
      <c r="E39" s="23">
        <f ca="1">INDEX('Exhibit 2.6.1'!$B$32:$V$32,COUNT($B39:$B$47))</f>
        <v>1.2650810523476563</v>
      </c>
      <c r="F39" s="23">
        <f t="shared" ca="1" si="0"/>
        <v>0.27602337688564332</v>
      </c>
      <c r="G39" s="23">
        <f t="shared" ca="1" si="1"/>
        <v>0.27217054659228146</v>
      </c>
    </row>
    <row r="40" spans="1:7">
      <c r="A40" s="22">
        <f>+A39+1</f>
        <v>2015</v>
      </c>
      <c r="B40" s="23">
        <f>'Exhibit 1'!$E34/'Exhibit 1'!$B34</f>
        <v>0.19720552365621638</v>
      </c>
      <c r="C40" s="155">
        <v>0.20321802257068647</v>
      </c>
      <c r="D40" s="23">
        <f>INDEX('Exhibit 2.6.1'!$B$29:$V$29,COUNT($B40:$B$47))</f>
        <v>1.022</v>
      </c>
      <c r="E40" s="23">
        <f ca="1">INDEX('Exhibit 2.6.1'!$B$32:$V$32,COUNT($B40:$B$47))</f>
        <v>1.2929128354993047</v>
      </c>
      <c r="F40" s="23">
        <f t="shared" ca="1" si="0"/>
        <v>0.26274318978642797</v>
      </c>
      <c r="G40" s="23">
        <f t="shared" ca="1" si="1"/>
        <v>0.25673069087195788</v>
      </c>
    </row>
    <row r="41" spans="1:7">
      <c r="A41" s="22">
        <f>+A40+1</f>
        <v>2016</v>
      </c>
      <c r="B41" s="23">
        <f>'Exhibit 1'!$E35/'Exhibit 1'!$B35</f>
        <v>0.18188147176155242</v>
      </c>
      <c r="C41" s="155">
        <v>0.18854884397296082</v>
      </c>
      <c r="D41" s="23">
        <f>INDEX('Exhibit 2.6.1'!$B$29:$V$29,COUNT($B41:$B$47))</f>
        <v>1.0289999999999999</v>
      </c>
      <c r="E41" s="23">
        <f ca="1">INDEX('Exhibit 2.6.1'!$B$32:$V$32,COUNT($B41:$B$47))</f>
        <v>1.3304073077287843</v>
      </c>
      <c r="F41" s="23">
        <f t="shared" ca="1" si="0"/>
        <v>0.25084675988544142</v>
      </c>
      <c r="G41" s="23">
        <f t="shared" ca="1" si="1"/>
        <v>0.24417938767403299</v>
      </c>
    </row>
    <row r="42" spans="1:7">
      <c r="A42" s="22">
        <f>+A41+1</f>
        <v>2017</v>
      </c>
      <c r="B42" s="23">
        <f>'Exhibit 1'!$E36/'Exhibit 1'!$B36</f>
        <v>0.17948178461101122</v>
      </c>
      <c r="C42" s="155">
        <v>0.18650287638933882</v>
      </c>
      <c r="D42" s="146">
        <f>VALUE(LEFT(INDEX('Exhibit 2.6.1'!$B$29:$V$29,COUNT($B42:$B$47)),5))</f>
        <v>1.046</v>
      </c>
      <c r="E42" s="146">
        <f ca="1">INDEX('Exhibit 2.6.1'!$B$35:$V$35,COUNT($B42:$B$47))</f>
        <v>1.375834033554626</v>
      </c>
      <c r="F42" s="23">
        <f t="shared" ca="1" si="0"/>
        <v>0.25659700469228386</v>
      </c>
      <c r="G42" s="23">
        <f t="shared" ca="1" si="1"/>
        <v>0.24957591291395625</v>
      </c>
    </row>
    <row r="43" spans="1:7">
      <c r="A43" s="22">
        <f t="shared" ref="A43:A47" si="3">+A42+1</f>
        <v>2018</v>
      </c>
      <c r="B43" s="23">
        <f>'Exhibit 1'!$E37/'Exhibit 1'!$B37</f>
        <v>0.18242626737212478</v>
      </c>
      <c r="C43" s="155">
        <v>0.18905336407697801</v>
      </c>
      <c r="D43" s="146">
        <f>VALUE(LEFT(INDEX('Exhibit 2.6.1'!$B$29:$V$29,COUNT($B43:$B$47)),5))</f>
        <v>1.071</v>
      </c>
      <c r="E43" s="146">
        <f ca="1">INDEX('Exhibit 2.6.1'!$B$35:$V$35,COUNT($B43:$B$47))</f>
        <v>1.474019406856576</v>
      </c>
      <c r="F43" s="23">
        <f t="shared" ca="1" si="0"/>
        <v>0.27866832758098742</v>
      </c>
      <c r="G43" s="23">
        <f t="shared" ca="1" si="1"/>
        <v>0.27204123087613419</v>
      </c>
    </row>
    <row r="44" spans="1:7">
      <c r="A44" s="22">
        <f t="shared" si="3"/>
        <v>2019</v>
      </c>
      <c r="B44" s="23">
        <f>'Exhibit 1'!$E38/'Exhibit 1'!$B38</f>
        <v>0.18514472095655582</v>
      </c>
      <c r="C44" s="155">
        <v>0.18989488292647283</v>
      </c>
      <c r="D44" s="146">
        <f>VALUE(LEFT(INDEX('Exhibit 2.6.1'!$B$29:$V$29,COUNT($B44:$B$47)),5))</f>
        <v>1.109</v>
      </c>
      <c r="E44" s="146">
        <f ca="1">INDEX('Exhibit 2.6.1'!$B$35:$V$35,COUNT($B44:$B$47))</f>
        <v>1.6349308659214159</v>
      </c>
      <c r="F44" s="23">
        <f t="shared" ca="1" si="0"/>
        <v>0.31046500537702409</v>
      </c>
      <c r="G44" s="23">
        <f t="shared" ca="1" si="1"/>
        <v>0.30571484340710708</v>
      </c>
    </row>
    <row r="45" spans="1:7">
      <c r="A45" s="22">
        <f t="shared" si="3"/>
        <v>2020</v>
      </c>
      <c r="B45" s="23">
        <f>'Exhibit 1'!$E39/'Exhibit 1'!$B39</f>
        <v>0.15861378623667668</v>
      </c>
      <c r="C45" s="155">
        <v>0.16039501673210785</v>
      </c>
      <c r="D45" s="146">
        <f>VALUE(LEFT(INDEX('Exhibit 2.6.1'!$B$29:$V$29,COUNT($B45:$B$47)),5))</f>
        <v>1.214</v>
      </c>
      <c r="E45" s="146">
        <f ca="1">INDEX('Exhibit 2.6.1'!$B$35:$V$35,COUNT($B45:$B$47))</f>
        <v>1.9850693439232447</v>
      </c>
      <c r="F45" s="23">
        <f t="shared" ca="1" si="0"/>
        <v>0.31839523063296321</v>
      </c>
      <c r="G45" s="23">
        <f t="shared" ca="1" si="1"/>
        <v>0.31661400013753205</v>
      </c>
    </row>
    <row r="46" spans="1:7">
      <c r="A46" s="22">
        <f t="shared" si="3"/>
        <v>2021</v>
      </c>
      <c r="B46" s="23">
        <f>'Exhibit 1'!$E40/'Exhibit 1'!$B40</f>
        <v>0.1253562004323186</v>
      </c>
      <c r="C46" s="155">
        <v>0.12563198571709672</v>
      </c>
      <c r="D46" s="146">
        <f>VALUE(LEFT(INDEX('Exhibit 2.6.1'!$B$29:$V$29,COUNT($B46:$B$47)),5))</f>
        <v>1.425</v>
      </c>
      <c r="E46" s="146">
        <f ca="1">INDEX('Exhibit 2.6.1'!$B$35:$V$35,COUNT($B46:$B$47))</f>
        <v>2.8289554032957964</v>
      </c>
      <c r="F46" s="23">
        <f t="shared" ca="1" si="0"/>
        <v>0.35540728482116107</v>
      </c>
      <c r="G46" s="23">
        <f t="shared" ca="1" si="1"/>
        <v>0.35513149953638296</v>
      </c>
    </row>
    <row r="47" spans="1:7">
      <c r="A47" s="22">
        <f t="shared" si="3"/>
        <v>2022</v>
      </c>
      <c r="B47" s="23">
        <f>'Exhibit 1'!$E41/'Exhibit 1'!$B41</f>
        <v>4.6390813495015122E-2</v>
      </c>
      <c r="C47" s="155">
        <v>4.6390813495015122E-2</v>
      </c>
      <c r="D47" s="146">
        <f>VALUE(LEFT(INDEX('Exhibit 2.6.1'!$B$29:$V$29,COUNT($B47:$B$47)),5))</f>
        <v>2.4940000000000002</v>
      </c>
      <c r="E47" s="146">
        <f ca="1">INDEX('Exhibit 2.6.1'!$B$35:$V$35,COUNT($B47:$B$47))</f>
        <v>7.0560674166641508</v>
      </c>
      <c r="F47" s="23">
        <f t="shared" ca="1" si="0"/>
        <v>0.32733670753471977</v>
      </c>
      <c r="G47" s="23">
        <f t="shared" ca="1" si="1"/>
        <v>0.32733670753471977</v>
      </c>
    </row>
    <row r="48" spans="1:7">
      <c r="A48" s="22"/>
      <c r="B48" s="23"/>
      <c r="C48" s="23"/>
      <c r="D48" s="23"/>
      <c r="E48" s="35"/>
      <c r="F48" s="23"/>
      <c r="G48" s="371"/>
    </row>
    <row r="49" spans="1:7" ht="12.75" customHeight="1">
      <c r="A49" s="34" t="s">
        <v>22</v>
      </c>
      <c r="B49" s="156" t="s">
        <v>413</v>
      </c>
      <c r="C49" s="156"/>
      <c r="D49" s="156"/>
      <c r="E49" s="156"/>
      <c r="F49" s="156"/>
      <c r="G49" s="156"/>
    </row>
    <row r="50" spans="1:7" ht="27" customHeight="1">
      <c r="A50" s="34" t="s">
        <v>28</v>
      </c>
      <c r="B50" s="510" t="s">
        <v>495</v>
      </c>
      <c r="C50" s="510"/>
      <c r="D50" s="510"/>
      <c r="E50" s="510"/>
      <c r="F50" s="510"/>
      <c r="G50" s="510"/>
    </row>
    <row r="51" spans="1:7" ht="27" customHeight="1">
      <c r="A51" s="34"/>
      <c r="B51" s="510" t="s">
        <v>496</v>
      </c>
      <c r="C51" s="510"/>
      <c r="D51" s="510"/>
      <c r="E51" s="510"/>
      <c r="F51" s="510"/>
      <c r="G51" s="510"/>
    </row>
    <row r="52" spans="1:7" ht="12.75" customHeight="1">
      <c r="A52" s="34" t="s">
        <v>38</v>
      </c>
      <c r="B52" s="156" t="s">
        <v>315</v>
      </c>
      <c r="C52" s="156"/>
      <c r="D52" s="156"/>
      <c r="E52" s="156"/>
      <c r="F52" s="156"/>
      <c r="G52" s="156"/>
    </row>
    <row r="53" spans="1:7" ht="41.25" customHeight="1">
      <c r="A53" s="34" t="s">
        <v>57</v>
      </c>
      <c r="B53" s="510" t="s">
        <v>446</v>
      </c>
      <c r="C53" s="510"/>
      <c r="D53" s="510"/>
      <c r="E53" s="510"/>
      <c r="F53" s="510"/>
      <c r="G53" s="510"/>
    </row>
  </sheetData>
  <mergeCells count="5">
    <mergeCell ref="B53:G53"/>
    <mergeCell ref="C6:G6"/>
    <mergeCell ref="D7:E7"/>
    <mergeCell ref="B50:G50"/>
    <mergeCell ref="B51:G51"/>
  </mergeCells>
  <printOptions horizontalCentered="1"/>
  <pageMargins left="0.5" right="0.5" top="0.75" bottom="0.75" header="0.33" footer="0.33"/>
  <pageSetup scale="96" orientation="portrait" blackAndWhite="1" horizontalDpi="1200" verticalDpi="1200" r:id="rId1"/>
  <headerFooter scaleWithDoc="0">
    <oddHeader>&amp;R&amp;"Arial,Regular"&amp;10Exhibit 3.2</oddHeader>
  </headerFooter>
  <ignoredErrors>
    <ignoredError sqref="B5:C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Q60"/>
  <sheetViews>
    <sheetView zoomScaleNormal="100" zoomScaleSheetLayoutView="100" workbookViewId="0">
      <selection sqref="A1:M1"/>
    </sheetView>
  </sheetViews>
  <sheetFormatPr defaultColWidth="9.1796875" defaultRowHeight="12.5"/>
  <cols>
    <col min="1" max="1" width="3.54296875" style="89" customWidth="1"/>
    <col min="2" max="2" width="9" style="89" customWidth="1"/>
    <col min="3" max="3" width="9.1796875" style="89"/>
    <col min="4" max="4" width="6.81640625" style="89" customWidth="1"/>
    <col min="5" max="5" width="11" style="89" customWidth="1"/>
    <col min="6" max="6" width="6.453125" style="89" customWidth="1"/>
    <col min="7" max="7" width="9.1796875" style="89"/>
    <col min="8" max="8" width="6.81640625" style="89" customWidth="1"/>
    <col min="9" max="9" width="11" style="89" bestFit="1" customWidth="1"/>
    <col min="10" max="10" width="6.453125" style="89" customWidth="1"/>
    <col min="11" max="11" width="9.1796875" style="89"/>
    <col min="12" max="12" width="10.453125" style="89" customWidth="1"/>
    <col min="13" max="13" width="3.1796875" style="89" customWidth="1"/>
    <col min="14" max="16384" width="9.1796875" style="89"/>
  </cols>
  <sheetData>
    <row r="1" spans="1:17" ht="13">
      <c r="A1" s="522" t="s">
        <v>60</v>
      </c>
      <c r="B1" s="522"/>
      <c r="C1" s="522"/>
      <c r="D1" s="522"/>
      <c r="E1" s="522"/>
      <c r="F1" s="522"/>
      <c r="G1" s="522"/>
      <c r="H1" s="522"/>
      <c r="I1" s="522"/>
      <c r="J1" s="522"/>
      <c r="K1" s="522"/>
      <c r="L1" s="522"/>
      <c r="M1" s="522"/>
      <c r="N1" s="341"/>
      <c r="O1" s="341"/>
      <c r="P1" s="341"/>
      <c r="Q1" s="341"/>
    </row>
    <row r="2" spans="1:17" ht="13">
      <c r="A2" s="31"/>
      <c r="B2" s="344"/>
      <c r="C2" s="344"/>
      <c r="D2" s="344"/>
      <c r="E2" s="344"/>
      <c r="F2" s="344"/>
      <c r="G2" s="344"/>
      <c r="H2" s="344"/>
      <c r="I2" s="344"/>
      <c r="J2" s="31"/>
      <c r="K2" s="344"/>
      <c r="L2" s="344"/>
      <c r="M2" s="344"/>
      <c r="N2" s="341"/>
      <c r="O2" s="341"/>
      <c r="P2" s="341"/>
      <c r="Q2" s="341"/>
    </row>
    <row r="3" spans="1:17">
      <c r="A3" s="31"/>
      <c r="B3" s="31"/>
      <c r="C3" s="31"/>
      <c r="D3" s="32" t="s">
        <v>45</v>
      </c>
      <c r="E3" s="32"/>
      <c r="F3" s="32" t="s">
        <v>46</v>
      </c>
      <c r="G3" s="31"/>
      <c r="H3" s="32" t="s">
        <v>47</v>
      </c>
      <c r="I3" s="31"/>
      <c r="J3" s="32" t="s">
        <v>48</v>
      </c>
      <c r="K3" s="31"/>
      <c r="L3" s="144" t="s">
        <v>50</v>
      </c>
      <c r="M3" s="31"/>
      <c r="N3" s="144"/>
      <c r="O3" s="341"/>
      <c r="P3" s="341"/>
      <c r="Q3" s="341"/>
    </row>
    <row r="4" spans="1:17">
      <c r="A4" s="31"/>
      <c r="B4" s="31"/>
      <c r="C4" s="31"/>
      <c r="D4" s="31" t="s">
        <v>61</v>
      </c>
      <c r="E4" s="31"/>
      <c r="F4" s="32"/>
      <c r="G4" s="32"/>
      <c r="H4" s="31" t="s">
        <v>62</v>
      </c>
      <c r="I4" s="32"/>
      <c r="J4" s="31" t="s">
        <v>63</v>
      </c>
      <c r="K4" s="32"/>
      <c r="L4" s="23" t="s">
        <v>64</v>
      </c>
      <c r="M4" s="31"/>
      <c r="N4" s="341"/>
      <c r="O4" s="341"/>
      <c r="P4" s="341"/>
      <c r="Q4" s="341"/>
    </row>
    <row r="5" spans="1:17">
      <c r="A5" s="31"/>
      <c r="B5" s="31"/>
      <c r="C5" s="31"/>
      <c r="D5" s="31" t="s">
        <v>65</v>
      </c>
      <c r="E5" s="31"/>
      <c r="F5" s="31"/>
      <c r="G5" s="31"/>
      <c r="H5" s="31" t="s">
        <v>66</v>
      </c>
      <c r="I5" s="31"/>
      <c r="J5" s="31" t="s">
        <v>67</v>
      </c>
      <c r="K5" s="31"/>
      <c r="L5" s="23" t="s">
        <v>3</v>
      </c>
      <c r="M5" s="31"/>
      <c r="N5" s="341"/>
      <c r="O5" s="341"/>
      <c r="P5" s="341"/>
      <c r="Q5" s="341"/>
    </row>
    <row r="6" spans="1:17">
      <c r="A6" s="31"/>
      <c r="B6" s="31" t="s">
        <v>54</v>
      </c>
      <c r="C6" s="31"/>
      <c r="D6" s="31" t="s">
        <v>68</v>
      </c>
      <c r="E6" s="31"/>
      <c r="F6" s="31" t="s">
        <v>68</v>
      </c>
      <c r="G6" s="31"/>
      <c r="H6" s="31" t="s">
        <v>69</v>
      </c>
      <c r="I6" s="31"/>
      <c r="J6" s="31" t="s">
        <v>70</v>
      </c>
      <c r="K6" s="31"/>
      <c r="L6" s="31" t="s">
        <v>71</v>
      </c>
      <c r="M6" s="31"/>
      <c r="N6" s="341"/>
      <c r="O6" s="341"/>
      <c r="P6" s="341"/>
      <c r="Q6" s="341"/>
    </row>
    <row r="7" spans="1:17">
      <c r="A7" s="33"/>
      <c r="B7" s="33" t="s">
        <v>8</v>
      </c>
      <c r="C7" s="33"/>
      <c r="D7" s="33" t="s">
        <v>72</v>
      </c>
      <c r="E7" s="33"/>
      <c r="F7" s="33" t="s">
        <v>72</v>
      </c>
      <c r="G7" s="33"/>
      <c r="H7" s="33" t="s">
        <v>73</v>
      </c>
      <c r="I7" s="33"/>
      <c r="J7" s="33" t="s">
        <v>74</v>
      </c>
      <c r="K7" s="33"/>
      <c r="L7" s="268" t="s">
        <v>75</v>
      </c>
      <c r="M7" s="33"/>
      <c r="N7" s="341"/>
      <c r="O7" s="341"/>
      <c r="P7" s="341"/>
      <c r="Q7" s="341"/>
    </row>
    <row r="8" spans="1:17" ht="13">
      <c r="A8" s="31"/>
      <c r="B8" s="31"/>
      <c r="C8" s="31"/>
      <c r="D8" s="94"/>
      <c r="E8" s="94"/>
      <c r="F8" s="94"/>
      <c r="G8" s="31"/>
      <c r="H8" s="96"/>
      <c r="I8" s="31"/>
      <c r="J8" s="344"/>
      <c r="K8" s="31"/>
      <c r="L8" s="23"/>
      <c r="M8" s="31"/>
      <c r="N8" s="341"/>
      <c r="O8" s="341"/>
      <c r="P8" s="341"/>
      <c r="Q8" s="341"/>
    </row>
    <row r="9" spans="1:17">
      <c r="A9" s="31"/>
      <c r="B9" s="31">
        <v>1987</v>
      </c>
      <c r="C9" s="31"/>
      <c r="D9" s="449">
        <v>0</v>
      </c>
      <c r="E9" s="450"/>
      <c r="F9" s="449">
        <v>0</v>
      </c>
      <c r="G9" s="429"/>
      <c r="H9" s="449">
        <v>1.9</v>
      </c>
      <c r="I9" s="38"/>
      <c r="J9" s="38">
        <f>+(((1+D9/100)*(1+F9/100)*(1+H9/100)-1))*100</f>
        <v>1.8999999999999906</v>
      </c>
      <c r="K9" s="31"/>
      <c r="L9" s="24">
        <f t="shared" ref="L9:L22" si="0">L10*(1+J10/100)</f>
        <v>1.7205637983396758</v>
      </c>
      <c r="M9" s="31"/>
      <c r="N9" s="341"/>
      <c r="O9" s="44"/>
      <c r="P9" s="341"/>
      <c r="Q9" s="190"/>
    </row>
    <row r="10" spans="1:17">
      <c r="A10" s="31"/>
      <c r="B10" s="31">
        <f t="shared" ref="B10:B46" si="1">B9+1</f>
        <v>1988</v>
      </c>
      <c r="C10" s="31"/>
      <c r="D10" s="449">
        <v>0</v>
      </c>
      <c r="E10" s="450"/>
      <c r="F10" s="449">
        <v>0</v>
      </c>
      <c r="G10" s="429"/>
      <c r="H10" s="449">
        <v>1.5</v>
      </c>
      <c r="I10" s="38"/>
      <c r="J10" s="38">
        <f t="shared" ref="J10:J47" si="2">+(((1+D10/100)*(1+F10/100)*(1+H10/100)-1))*100</f>
        <v>1.4999999999999902</v>
      </c>
      <c r="K10" s="31"/>
      <c r="L10" s="24">
        <f t="shared" si="0"/>
        <v>1.6951367471326857</v>
      </c>
      <c r="M10" s="31"/>
      <c r="N10" s="341"/>
      <c r="O10" s="44"/>
      <c r="P10" s="341"/>
      <c r="Q10" s="190"/>
    </row>
    <row r="11" spans="1:17">
      <c r="A11" s="31"/>
      <c r="B11" s="31">
        <f t="shared" si="1"/>
        <v>1989</v>
      </c>
      <c r="C11" s="31"/>
      <c r="D11" s="449">
        <v>0</v>
      </c>
      <c r="E11" s="450"/>
      <c r="F11" s="449">
        <v>0</v>
      </c>
      <c r="G11" s="429"/>
      <c r="H11" s="449">
        <v>1.5</v>
      </c>
      <c r="I11" s="38"/>
      <c r="J11" s="38">
        <f t="shared" si="2"/>
        <v>1.4999999999999902</v>
      </c>
      <c r="K11" s="31"/>
      <c r="L11" s="24">
        <f t="shared" si="0"/>
        <v>1.6700854651553556</v>
      </c>
      <c r="M11" s="31"/>
      <c r="N11" s="341"/>
      <c r="O11" s="44"/>
      <c r="P11" s="341"/>
      <c r="Q11" s="190"/>
    </row>
    <row r="12" spans="1:17">
      <c r="A12" s="31"/>
      <c r="B12" s="31">
        <f t="shared" si="1"/>
        <v>1990</v>
      </c>
      <c r="C12" s="31"/>
      <c r="D12" s="449">
        <v>2.2999999999999998</v>
      </c>
      <c r="E12" s="450"/>
      <c r="F12" s="449">
        <v>19.899999999999999</v>
      </c>
      <c r="G12" s="429"/>
      <c r="H12" s="449">
        <v>1.7000000000000002</v>
      </c>
      <c r="I12" s="38"/>
      <c r="J12" s="38">
        <f t="shared" si="2"/>
        <v>24.742880899999985</v>
      </c>
      <c r="K12" s="31"/>
      <c r="L12" s="24">
        <f t="shared" si="0"/>
        <v>1.3388222663337221</v>
      </c>
      <c r="M12" s="31"/>
      <c r="N12" s="341"/>
      <c r="O12" s="44"/>
      <c r="P12" s="341"/>
      <c r="Q12" s="190"/>
    </row>
    <row r="13" spans="1:17">
      <c r="A13" s="31"/>
      <c r="B13" s="31">
        <f t="shared" si="1"/>
        <v>1991</v>
      </c>
      <c r="C13" s="31"/>
      <c r="D13" s="449">
        <v>4.9000000000000004</v>
      </c>
      <c r="E13" s="450"/>
      <c r="F13" s="449">
        <v>14.8</v>
      </c>
      <c r="G13" s="429"/>
      <c r="H13" s="449">
        <v>0.8</v>
      </c>
      <c r="I13" s="38"/>
      <c r="J13" s="38">
        <f t="shared" si="2"/>
        <v>21.388601600000001</v>
      </c>
      <c r="K13" s="31"/>
      <c r="L13" s="24">
        <f t="shared" si="0"/>
        <v>1.1029225550726849</v>
      </c>
      <c r="M13" s="31"/>
      <c r="N13" s="341"/>
      <c r="O13" s="44"/>
      <c r="P13" s="341"/>
      <c r="Q13" s="190"/>
    </row>
    <row r="14" spans="1:17">
      <c r="A14" s="31"/>
      <c r="B14" s="31">
        <f t="shared" si="1"/>
        <v>1992</v>
      </c>
      <c r="C14" s="31"/>
      <c r="D14" s="449">
        <v>1.8</v>
      </c>
      <c r="E14" s="450"/>
      <c r="F14" s="449">
        <v>-8.3000000000000007</v>
      </c>
      <c r="G14" s="429"/>
      <c r="H14" s="449">
        <v>1.6</v>
      </c>
      <c r="I14" s="38"/>
      <c r="J14" s="38">
        <f t="shared" si="2"/>
        <v>-5.1557903999999937</v>
      </c>
      <c r="K14" s="31"/>
      <c r="L14" s="24">
        <f t="shared" si="0"/>
        <v>1.1628781131965749</v>
      </c>
      <c r="M14" s="31"/>
      <c r="N14" s="341"/>
      <c r="O14" s="44"/>
      <c r="P14" s="341"/>
      <c r="Q14" s="190"/>
    </row>
    <row r="15" spans="1:17">
      <c r="A15" s="31"/>
      <c r="B15" s="31">
        <f t="shared" si="1"/>
        <v>1993</v>
      </c>
      <c r="C15" s="31"/>
      <c r="D15" s="449">
        <v>0.2</v>
      </c>
      <c r="E15" s="450"/>
      <c r="F15" s="449">
        <v>-18.100000000000001</v>
      </c>
      <c r="G15" s="429"/>
      <c r="H15" s="449">
        <v>0.4</v>
      </c>
      <c r="I15" s="38"/>
      <c r="J15" s="38">
        <f t="shared" si="2"/>
        <v>-17.607944799999999</v>
      </c>
      <c r="K15" s="31"/>
      <c r="L15" s="24">
        <f t="shared" si="0"/>
        <v>1.4113959293451086</v>
      </c>
      <c r="M15" s="31"/>
      <c r="N15" s="341"/>
      <c r="O15" s="44"/>
      <c r="P15" s="341"/>
      <c r="Q15" s="190"/>
    </row>
    <row r="16" spans="1:17">
      <c r="A16" s="31"/>
      <c r="B16" s="31">
        <f t="shared" si="1"/>
        <v>1994</v>
      </c>
      <c r="C16" s="31"/>
      <c r="D16" s="449">
        <v>-5.0999999999999996</v>
      </c>
      <c r="E16" s="450"/>
      <c r="F16" s="449">
        <v>0.2</v>
      </c>
      <c r="G16" s="429"/>
      <c r="H16" s="449">
        <v>0.6</v>
      </c>
      <c r="I16" s="38"/>
      <c r="J16" s="38">
        <f t="shared" si="2"/>
        <v>-4.3396612000000108</v>
      </c>
      <c r="K16" s="31"/>
      <c r="L16" s="24">
        <f t="shared" si="0"/>
        <v>1.4754243472793438</v>
      </c>
      <c r="M16" s="31"/>
      <c r="N16" s="341"/>
      <c r="O16" s="44"/>
      <c r="P16" s="341"/>
      <c r="Q16" s="190"/>
    </row>
    <row r="17" spans="1:17">
      <c r="A17" s="31"/>
      <c r="B17" s="31">
        <f t="shared" si="1"/>
        <v>1995</v>
      </c>
      <c r="C17" s="31"/>
      <c r="D17" s="449">
        <v>6.3</v>
      </c>
      <c r="E17" s="450"/>
      <c r="F17" s="449">
        <v>0.6</v>
      </c>
      <c r="G17" s="429"/>
      <c r="H17" s="449">
        <v>1</v>
      </c>
      <c r="I17" s="38"/>
      <c r="J17" s="38">
        <f t="shared" si="2"/>
        <v>8.0071779999999926</v>
      </c>
      <c r="K17" s="31"/>
      <c r="L17" s="24">
        <f t="shared" si="0"/>
        <v>1.3660428636320301</v>
      </c>
      <c r="M17" s="31"/>
      <c r="N17" s="341"/>
      <c r="O17" s="44"/>
      <c r="P17" s="341"/>
      <c r="Q17" s="190"/>
    </row>
    <row r="18" spans="1:17">
      <c r="A18" s="31"/>
      <c r="B18" s="31">
        <f t="shared" si="1"/>
        <v>1996</v>
      </c>
      <c r="C18" s="31"/>
      <c r="D18" s="449">
        <v>5.3</v>
      </c>
      <c r="E18" s="450"/>
      <c r="F18" s="449">
        <v>0.4</v>
      </c>
      <c r="G18" s="429"/>
      <c r="H18" s="449">
        <v>1.2</v>
      </c>
      <c r="I18" s="38"/>
      <c r="J18" s="38">
        <f t="shared" si="2"/>
        <v>6.9898543999999951</v>
      </c>
      <c r="K18" s="31"/>
      <c r="L18" s="24">
        <f t="shared" si="0"/>
        <v>1.2767966376744879</v>
      </c>
      <c r="M18" s="31"/>
      <c r="N18" s="341"/>
      <c r="O18" s="44"/>
      <c r="P18" s="341"/>
      <c r="Q18" s="190"/>
    </row>
    <row r="19" spans="1:17">
      <c r="A19" s="31"/>
      <c r="B19" s="31">
        <f t="shared" si="1"/>
        <v>1997</v>
      </c>
      <c r="C19" s="31"/>
      <c r="D19" s="449">
        <v>9.6999999999999993</v>
      </c>
      <c r="E19" s="450"/>
      <c r="F19" s="449">
        <v>0.2</v>
      </c>
      <c r="G19" s="429"/>
      <c r="H19" s="449">
        <v>1.6</v>
      </c>
      <c r="I19" s="38"/>
      <c r="J19" s="38">
        <f t="shared" si="2"/>
        <v>11.678110399999998</v>
      </c>
      <c r="K19" s="31"/>
      <c r="L19" s="24">
        <f t="shared" si="0"/>
        <v>1.1432828090494698</v>
      </c>
      <c r="M19" s="31"/>
      <c r="N19" s="341"/>
      <c r="O19" s="44"/>
      <c r="P19" s="341"/>
      <c r="Q19" s="190"/>
    </row>
    <row r="20" spans="1:17">
      <c r="A20" s="31"/>
      <c r="B20" s="31">
        <f t="shared" si="1"/>
        <v>1998</v>
      </c>
      <c r="C20" s="31"/>
      <c r="D20" s="449">
        <v>6.5</v>
      </c>
      <c r="E20" s="450"/>
      <c r="F20" s="449">
        <v>0</v>
      </c>
      <c r="G20" s="429"/>
      <c r="H20" s="449">
        <v>1.8000000000000003</v>
      </c>
      <c r="I20" s="38"/>
      <c r="J20" s="38">
        <f t="shared" si="2"/>
        <v>8.4169999999999856</v>
      </c>
      <c r="K20" s="31"/>
      <c r="L20" s="24">
        <f t="shared" si="0"/>
        <v>1.0545235609263031</v>
      </c>
      <c r="M20" s="31"/>
      <c r="N20" s="341"/>
      <c r="O20" s="44"/>
      <c r="P20" s="341"/>
      <c r="Q20" s="190"/>
    </row>
    <row r="21" spans="1:17">
      <c r="A21" s="31"/>
      <c r="B21" s="31">
        <f t="shared" si="1"/>
        <v>1999</v>
      </c>
      <c r="C21" s="31"/>
      <c r="D21" s="449">
        <v>5.7</v>
      </c>
      <c r="E21" s="450"/>
      <c r="F21" s="449">
        <v>0</v>
      </c>
      <c r="G21" s="429"/>
      <c r="H21" s="449">
        <v>2.1</v>
      </c>
      <c r="I21" s="38"/>
      <c r="J21" s="38">
        <f t="shared" si="2"/>
        <v>7.919699999999974</v>
      </c>
      <c r="K21" s="31"/>
      <c r="L21" s="24">
        <f t="shared" si="0"/>
        <v>0.97713722418270565</v>
      </c>
      <c r="M21" s="31"/>
      <c r="N21" s="341"/>
      <c r="O21" s="44"/>
      <c r="P21" s="341"/>
      <c r="Q21" s="190"/>
    </row>
    <row r="22" spans="1:17">
      <c r="A22" s="31"/>
      <c r="B22" s="31">
        <f t="shared" si="1"/>
        <v>2000</v>
      </c>
      <c r="C22" s="31"/>
      <c r="D22" s="449">
        <v>3.9</v>
      </c>
      <c r="E22" s="451"/>
      <c r="F22" s="449">
        <v>0</v>
      </c>
      <c r="G22" s="429"/>
      <c r="H22" s="449">
        <v>3.1</v>
      </c>
      <c r="I22" s="38"/>
      <c r="J22" s="38">
        <f t="shared" si="2"/>
        <v>7.1208999999999856</v>
      </c>
      <c r="K22" s="31"/>
      <c r="L22" s="24">
        <f t="shared" si="0"/>
        <v>0.91218167900260905</v>
      </c>
      <c r="M22" s="31"/>
      <c r="N22" s="341"/>
      <c r="O22" s="44"/>
      <c r="P22" s="341"/>
      <c r="Q22" s="190"/>
    </row>
    <row r="23" spans="1:17">
      <c r="A23" s="31"/>
      <c r="B23" s="31">
        <f t="shared" si="1"/>
        <v>2001</v>
      </c>
      <c r="C23" s="31"/>
      <c r="D23" s="449">
        <v>-0.3</v>
      </c>
      <c r="E23" s="451"/>
      <c r="F23" s="449">
        <v>0</v>
      </c>
      <c r="G23" s="429"/>
      <c r="H23" s="449">
        <v>0.2</v>
      </c>
      <c r="I23" s="38"/>
      <c r="J23" s="38">
        <f t="shared" si="2"/>
        <v>-0.10059999999999514</v>
      </c>
      <c r="K23" s="31"/>
      <c r="L23" s="24">
        <f>+(J25/100+1)*(J26/100+1)*(J27/100+1)*(J24/100+1)*L27</f>
        <v>0.91310025786201821</v>
      </c>
      <c r="M23" s="31"/>
      <c r="N23" s="341"/>
      <c r="O23" s="44"/>
      <c r="P23" s="341"/>
      <c r="Q23" s="190"/>
    </row>
    <row r="24" spans="1:17">
      <c r="A24" s="31"/>
      <c r="B24" s="31">
        <f t="shared" si="1"/>
        <v>2002</v>
      </c>
      <c r="C24" s="31"/>
      <c r="D24" s="449">
        <v>-0.7</v>
      </c>
      <c r="E24" s="451"/>
      <c r="F24" s="449">
        <v>0</v>
      </c>
      <c r="G24" s="429"/>
      <c r="H24" s="449">
        <v>0.4</v>
      </c>
      <c r="I24" s="38"/>
      <c r="J24" s="38">
        <f t="shared" si="2"/>
        <v>-0.30280000000000307</v>
      </c>
      <c r="K24" s="31"/>
      <c r="L24" s="364">
        <f>+L27*(1+J26/100)*(1+J25/100)*(1+E57)</f>
        <v>0.93527007627378489</v>
      </c>
      <c r="M24" s="123" t="s">
        <v>41</v>
      </c>
      <c r="N24" s="341"/>
      <c r="O24" s="44"/>
      <c r="P24" s="341"/>
      <c r="Q24" s="190"/>
    </row>
    <row r="25" spans="1:17">
      <c r="A25" s="31"/>
      <c r="B25" s="31">
        <f t="shared" si="1"/>
        <v>2003</v>
      </c>
      <c r="C25" s="31"/>
      <c r="D25" s="449">
        <v>7.3436000000000057</v>
      </c>
      <c r="E25" s="451"/>
      <c r="F25" s="449">
        <v>0</v>
      </c>
      <c r="G25" s="429"/>
      <c r="H25" s="449">
        <v>1.2</v>
      </c>
      <c r="I25" s="38"/>
      <c r="J25" s="38">
        <f t="shared" si="2"/>
        <v>8.6317232000000068</v>
      </c>
      <c r="K25" s="31"/>
      <c r="L25" s="364">
        <f>+L27*(1+J26/100)*(1+E58)</f>
        <v>0.93237616045808613</v>
      </c>
      <c r="M25" s="123" t="s">
        <v>41</v>
      </c>
      <c r="N25" s="341"/>
      <c r="O25" s="44"/>
      <c r="P25" s="341"/>
      <c r="Q25" s="190"/>
    </row>
    <row r="26" spans="1:17">
      <c r="A26" s="31"/>
      <c r="B26" s="31">
        <f t="shared" si="1"/>
        <v>2004</v>
      </c>
      <c r="C26" s="31"/>
      <c r="D26" s="449">
        <v>-5.9782388663967678</v>
      </c>
      <c r="E26" s="451"/>
      <c r="F26" s="449">
        <v>-13.7</v>
      </c>
      <c r="G26" s="429"/>
      <c r="H26" s="449">
        <v>2.1</v>
      </c>
      <c r="I26" s="38"/>
      <c r="J26" s="38">
        <f t="shared" si="2"/>
        <v>-17.155263764676132</v>
      </c>
      <c r="K26" s="31"/>
      <c r="L26" s="364">
        <f>+L27*(1+E59)</f>
        <v>1.2763194418407802</v>
      </c>
      <c r="M26" s="123" t="s">
        <v>41</v>
      </c>
      <c r="N26" s="341"/>
      <c r="O26" s="44"/>
      <c r="P26" s="341"/>
      <c r="Q26" s="190"/>
    </row>
    <row r="27" spans="1:17">
      <c r="A27" s="31"/>
      <c r="B27" s="31">
        <f t="shared" si="1"/>
        <v>2005</v>
      </c>
      <c r="C27" s="31"/>
      <c r="D27" s="449">
        <v>-31.634572864321608</v>
      </c>
      <c r="E27" s="451"/>
      <c r="F27" s="449">
        <v>-15.3</v>
      </c>
      <c r="G27" s="429"/>
      <c r="H27" s="449">
        <v>1.6</v>
      </c>
      <c r="I27" s="38"/>
      <c r="J27" s="38">
        <f t="shared" si="2"/>
        <v>-41.167994947537693</v>
      </c>
      <c r="K27" s="31"/>
      <c r="L27" s="24">
        <f t="shared" ref="L27:L45" si="3">L28*(1+J28/100)</f>
        <v>1.7298174188658664</v>
      </c>
      <c r="M27" s="50"/>
      <c r="N27" s="341"/>
      <c r="O27" s="44"/>
      <c r="P27" s="341"/>
      <c r="Q27" s="190"/>
    </row>
    <row r="28" spans="1:17">
      <c r="A28" s="31"/>
      <c r="B28" s="31">
        <f t="shared" si="1"/>
        <v>2006</v>
      </c>
      <c r="C28" s="31"/>
      <c r="D28" s="449">
        <v>5.6</v>
      </c>
      <c r="E28" s="450"/>
      <c r="F28" s="449">
        <v>-5.7</v>
      </c>
      <c r="G28" s="429"/>
      <c r="H28" s="449">
        <v>2.2000000000000002</v>
      </c>
      <c r="I28" s="38"/>
      <c r="J28" s="38">
        <f t="shared" si="2"/>
        <v>1.7715775999999961</v>
      </c>
      <c r="K28" s="31"/>
      <c r="L28" s="24">
        <f t="shared" si="3"/>
        <v>1.6997058114444188</v>
      </c>
      <c r="M28" s="31"/>
      <c r="N28" s="341"/>
      <c r="O28" s="44"/>
      <c r="P28" s="341"/>
      <c r="Q28" s="190"/>
    </row>
    <row r="29" spans="1:17">
      <c r="A29" s="31"/>
      <c r="B29" s="31">
        <f t="shared" si="1"/>
        <v>2007</v>
      </c>
      <c r="C29" s="31"/>
      <c r="D29" s="449">
        <v>1.6</v>
      </c>
      <c r="E29" s="450"/>
      <c r="F29" s="449">
        <v>0</v>
      </c>
      <c r="G29" s="429"/>
      <c r="H29" s="449">
        <v>2.1</v>
      </c>
      <c r="I29" s="145"/>
      <c r="J29" s="38">
        <f t="shared" si="2"/>
        <v>3.7335999999999814</v>
      </c>
      <c r="K29" s="31"/>
      <c r="L29" s="24">
        <f t="shared" si="3"/>
        <v>1.6385296677686103</v>
      </c>
      <c r="M29" s="31"/>
      <c r="N29" s="341"/>
      <c r="O29" s="44"/>
      <c r="P29" s="341"/>
      <c r="Q29" s="190"/>
    </row>
    <row r="30" spans="1:17">
      <c r="A30" s="31"/>
      <c r="B30" s="31">
        <f t="shared" si="1"/>
        <v>2008</v>
      </c>
      <c r="C30" s="31"/>
      <c r="D30" s="449">
        <v>4.8</v>
      </c>
      <c r="E30" s="450"/>
      <c r="F30" s="449">
        <v>0.6</v>
      </c>
      <c r="G30" s="429"/>
      <c r="H30" s="449">
        <v>1</v>
      </c>
      <c r="I30" s="145"/>
      <c r="J30" s="38">
        <f t="shared" si="2"/>
        <v>6.4830880000000146</v>
      </c>
      <c r="K30" s="31"/>
      <c r="L30" s="24">
        <f t="shared" si="3"/>
        <v>1.5387698634064877</v>
      </c>
      <c r="M30" s="31"/>
      <c r="N30" s="341"/>
      <c r="O30" s="44"/>
      <c r="P30" s="341"/>
      <c r="Q30" s="190"/>
    </row>
    <row r="31" spans="1:17">
      <c r="A31" s="31"/>
      <c r="B31" s="31">
        <f t="shared" si="1"/>
        <v>2009</v>
      </c>
      <c r="C31" s="341"/>
      <c r="D31" s="449">
        <v>0.4</v>
      </c>
      <c r="E31" s="450"/>
      <c r="F31" s="449">
        <v>1.4</v>
      </c>
      <c r="G31" s="452"/>
      <c r="H31" s="449">
        <v>0.2</v>
      </c>
      <c r="I31" s="145"/>
      <c r="J31" s="38">
        <f t="shared" si="2"/>
        <v>2.0092112000000162</v>
      </c>
      <c r="K31" s="31"/>
      <c r="L31" s="24">
        <f t="shared" si="3"/>
        <v>1.5084616823372587</v>
      </c>
      <c r="M31" s="31"/>
      <c r="N31" s="341"/>
      <c r="O31" s="44"/>
      <c r="P31" s="341"/>
      <c r="Q31" s="190"/>
    </row>
    <row r="32" spans="1:17">
      <c r="A32" s="31"/>
      <c r="B32" s="31">
        <f t="shared" si="1"/>
        <v>2010</v>
      </c>
      <c r="C32" s="31"/>
      <c r="D32" s="449">
        <v>0.4</v>
      </c>
      <c r="E32" s="450"/>
      <c r="F32" s="449">
        <v>0</v>
      </c>
      <c r="G32" s="429"/>
      <c r="H32" s="449">
        <v>1.5</v>
      </c>
      <c r="I32" s="145"/>
      <c r="J32" s="38">
        <f t="shared" si="2"/>
        <v>1.9059999999999855</v>
      </c>
      <c r="K32" s="31"/>
      <c r="L32" s="24">
        <f t="shared" si="3"/>
        <v>1.4802481525496625</v>
      </c>
      <c r="M32" s="31"/>
      <c r="N32" s="341"/>
      <c r="O32" s="44"/>
      <c r="P32" s="341"/>
      <c r="Q32" s="190"/>
    </row>
    <row r="33" spans="1:17">
      <c r="A33" s="31"/>
      <c r="B33" s="31">
        <f t="shared" si="1"/>
        <v>2011</v>
      </c>
      <c r="C33" s="31"/>
      <c r="D33" s="449">
        <v>0</v>
      </c>
      <c r="E33" s="450"/>
      <c r="F33" s="449">
        <v>0</v>
      </c>
      <c r="G33" s="429"/>
      <c r="H33" s="449">
        <v>1.4</v>
      </c>
      <c r="I33" s="145"/>
      <c r="J33" s="38">
        <f t="shared" si="2"/>
        <v>1.4000000000000012</v>
      </c>
      <c r="K33" s="31"/>
      <c r="L33" s="24">
        <f t="shared" si="3"/>
        <v>1.459810801331028</v>
      </c>
      <c r="M33" s="123"/>
      <c r="N33" s="341"/>
      <c r="O33" s="44"/>
      <c r="P33" s="341"/>
      <c r="Q33" s="190"/>
    </row>
    <row r="34" spans="1:17">
      <c r="A34" s="31"/>
      <c r="B34" s="31">
        <f t="shared" si="1"/>
        <v>2012</v>
      </c>
      <c r="C34" s="31"/>
      <c r="D34" s="449">
        <v>-0.82837500000000341</v>
      </c>
      <c r="E34" s="450"/>
      <c r="F34" s="449">
        <v>0</v>
      </c>
      <c r="G34" s="429"/>
      <c r="H34" s="449">
        <v>2.1</v>
      </c>
      <c r="I34" s="145"/>
      <c r="J34" s="38">
        <f t="shared" si="2"/>
        <v>1.2542291249999948</v>
      </c>
      <c r="K34" s="31"/>
      <c r="L34" s="24">
        <f t="shared" si="3"/>
        <v>1.4417282260169773</v>
      </c>
      <c r="M34" s="123"/>
      <c r="N34" s="341"/>
      <c r="O34" s="44"/>
      <c r="P34" s="341"/>
      <c r="Q34" s="190"/>
    </row>
    <row r="35" spans="1:17">
      <c r="A35" s="31"/>
      <c r="B35" s="31">
        <f t="shared" si="1"/>
        <v>2013</v>
      </c>
      <c r="C35" s="31"/>
      <c r="D35" s="449">
        <v>1.4457500000000012</v>
      </c>
      <c r="E35" s="450"/>
      <c r="F35" s="449">
        <v>0.2</v>
      </c>
      <c r="G35" s="429"/>
      <c r="H35" s="449">
        <v>0.6</v>
      </c>
      <c r="I35" s="145"/>
      <c r="J35" s="38">
        <f t="shared" si="2"/>
        <v>2.2585333489999915</v>
      </c>
      <c r="K35" s="31"/>
      <c r="L35" s="24">
        <f t="shared" si="3"/>
        <v>1.409885491997501</v>
      </c>
      <c r="M35" s="123"/>
      <c r="N35" s="341"/>
      <c r="O35" s="44"/>
      <c r="P35" s="341"/>
      <c r="Q35" s="190"/>
    </row>
    <row r="36" spans="1:17">
      <c r="A36" s="31"/>
      <c r="B36" s="31">
        <f t="shared" si="1"/>
        <v>2014</v>
      </c>
      <c r="C36" s="31"/>
      <c r="D36" s="449">
        <v>5.7863625000000196</v>
      </c>
      <c r="E36" s="450"/>
      <c r="F36" s="449">
        <v>1.4967259120673537</v>
      </c>
      <c r="G36" s="429"/>
      <c r="H36" s="449">
        <v>1.7000000000000002</v>
      </c>
      <c r="I36" s="145"/>
      <c r="J36" s="38">
        <f t="shared" si="2"/>
        <v>9.1949792037535172</v>
      </c>
      <c r="K36" s="31"/>
      <c r="L36" s="24">
        <f t="shared" si="3"/>
        <v>1.2911632954906382</v>
      </c>
      <c r="M36" s="123"/>
      <c r="N36" s="341"/>
      <c r="O36" s="44"/>
      <c r="P36" s="341"/>
      <c r="Q36" s="190"/>
    </row>
    <row r="37" spans="1:17">
      <c r="A37" s="31"/>
      <c r="B37" s="31">
        <f t="shared" si="1"/>
        <v>2015</v>
      </c>
      <c r="C37" s="31"/>
      <c r="D37" s="449">
        <v>-0.83826250000000879</v>
      </c>
      <c r="E37" s="450"/>
      <c r="F37" s="449">
        <v>0</v>
      </c>
      <c r="G37" s="429"/>
      <c r="H37" s="449">
        <v>2.2999999999999998</v>
      </c>
      <c r="I37" s="145"/>
      <c r="J37" s="38">
        <f t="shared" si="2"/>
        <v>1.4424574624999797</v>
      </c>
      <c r="K37" s="31"/>
      <c r="L37" s="24">
        <f t="shared" si="3"/>
        <v>1.2728036443398858</v>
      </c>
      <c r="M37" s="31"/>
      <c r="N37" s="341"/>
      <c r="O37" s="44"/>
      <c r="P37" s="341"/>
      <c r="Q37" s="190"/>
    </row>
    <row r="38" spans="1:17">
      <c r="A38" s="31"/>
      <c r="B38" s="31">
        <f t="shared" si="1"/>
        <v>2016</v>
      </c>
      <c r="C38" s="31"/>
      <c r="D38" s="449">
        <v>0.26999999999999247</v>
      </c>
      <c r="E38" s="450"/>
      <c r="F38" s="449">
        <v>0</v>
      </c>
      <c r="G38" s="429"/>
      <c r="H38" s="449">
        <v>1</v>
      </c>
      <c r="I38" s="145"/>
      <c r="J38" s="38">
        <f t="shared" si="2"/>
        <v>1.2726999999999933</v>
      </c>
      <c r="K38" s="31"/>
      <c r="L38" s="24">
        <f t="shared" si="3"/>
        <v>1.2568082457956447</v>
      </c>
      <c r="M38" s="31"/>
      <c r="N38" s="341"/>
      <c r="O38" s="341"/>
      <c r="P38" s="341"/>
      <c r="Q38" s="190"/>
    </row>
    <row r="39" spans="1:17">
      <c r="A39" s="31"/>
      <c r="B39" s="31">
        <f t="shared" si="1"/>
        <v>2017</v>
      </c>
      <c r="C39" s="31"/>
      <c r="D39" s="449">
        <v>0.46999999999999265</v>
      </c>
      <c r="E39" s="450"/>
      <c r="F39" s="449">
        <v>0</v>
      </c>
      <c r="G39" s="429"/>
      <c r="H39" s="449">
        <v>2.2000000000000002</v>
      </c>
      <c r="I39" s="145"/>
      <c r="J39" s="38">
        <f t="shared" si="2"/>
        <v>2.6803399999999922</v>
      </c>
      <c r="K39" s="31"/>
      <c r="L39" s="24">
        <f t="shared" si="3"/>
        <v>1.2240008611148392</v>
      </c>
      <c r="M39" s="31"/>
      <c r="N39" s="341"/>
      <c r="O39" s="341"/>
      <c r="P39" s="341"/>
      <c r="Q39" s="190"/>
    </row>
    <row r="40" spans="1:17">
      <c r="A40" s="31"/>
      <c r="B40" s="31">
        <f t="shared" si="1"/>
        <v>2018</v>
      </c>
      <c r="C40" s="31"/>
      <c r="D40" s="449">
        <v>0.43999999999999595</v>
      </c>
      <c r="E40" s="429"/>
      <c r="F40" s="449">
        <v>0</v>
      </c>
      <c r="G40" s="429"/>
      <c r="H40" s="449">
        <v>2.1999999999999997</v>
      </c>
      <c r="I40" s="145"/>
      <c r="J40" s="38">
        <f t="shared" si="2"/>
        <v>2.6496799999999876</v>
      </c>
      <c r="K40" s="31"/>
      <c r="L40" s="24">
        <f t="shared" si="3"/>
        <v>1.1924059199354926</v>
      </c>
      <c r="M40" s="31"/>
      <c r="N40" s="341"/>
      <c r="O40" s="341"/>
      <c r="P40" s="341"/>
      <c r="Q40" s="190"/>
    </row>
    <row r="41" spans="1:17" s="229" customFormat="1">
      <c r="A41" s="31"/>
      <c r="B41" s="31">
        <f t="shared" si="1"/>
        <v>2019</v>
      </c>
      <c r="C41" s="31"/>
      <c r="D41" s="449">
        <v>0.37</v>
      </c>
      <c r="E41" s="429"/>
      <c r="F41" s="449">
        <v>0</v>
      </c>
      <c r="G41" s="429"/>
      <c r="H41" s="449">
        <v>2.4</v>
      </c>
      <c r="I41" s="145"/>
      <c r="J41" s="38">
        <f t="shared" si="2"/>
        <v>2.7788800000000169</v>
      </c>
      <c r="K41" s="31"/>
      <c r="L41" s="24">
        <f t="shared" si="3"/>
        <v>1.1601662909106349</v>
      </c>
      <c r="M41" s="31"/>
      <c r="N41" s="341"/>
      <c r="O41" s="341"/>
      <c r="P41" s="341"/>
      <c r="Q41" s="190"/>
    </row>
    <row r="42" spans="1:17" s="131" customFormat="1">
      <c r="A42" s="31"/>
      <c r="B42" s="31">
        <f t="shared" si="1"/>
        <v>2020</v>
      </c>
      <c r="C42" s="31"/>
      <c r="D42" s="449">
        <v>0.42</v>
      </c>
      <c r="E42" s="429"/>
      <c r="F42" s="449">
        <v>0</v>
      </c>
      <c r="G42" s="429"/>
      <c r="H42" s="449">
        <v>2.54</v>
      </c>
      <c r="I42" s="145"/>
      <c r="J42" s="38">
        <f t="shared" si="2"/>
        <v>2.9706680000000096</v>
      </c>
      <c r="K42" s="31"/>
      <c r="L42" s="24">
        <f t="shared" si="3"/>
        <v>1.1266958964572658</v>
      </c>
      <c r="M42" s="31"/>
      <c r="N42" s="341"/>
      <c r="O42" s="341"/>
      <c r="P42" s="341"/>
      <c r="Q42" s="190"/>
    </row>
    <row r="43" spans="1:17">
      <c r="A43" s="31"/>
      <c r="B43" s="31">
        <f t="shared" si="1"/>
        <v>2021</v>
      </c>
      <c r="C43" s="31"/>
      <c r="D43" s="449">
        <v>0.5</v>
      </c>
      <c r="E43" s="429"/>
      <c r="F43" s="449">
        <v>0</v>
      </c>
      <c r="G43" s="429"/>
      <c r="H43" s="449">
        <v>3.2199999999999998</v>
      </c>
      <c r="I43" s="145"/>
      <c r="J43" s="38">
        <f t="shared" si="2"/>
        <v>3.7360999999999978</v>
      </c>
      <c r="K43" s="31"/>
      <c r="L43" s="24">
        <f t="shared" si="3"/>
        <v>1.0861174619609431</v>
      </c>
      <c r="M43" s="31"/>
      <c r="N43" s="341"/>
      <c r="O43" s="341"/>
      <c r="P43" s="341"/>
      <c r="Q43" s="341"/>
    </row>
    <row r="44" spans="1:17" s="229" customFormat="1">
      <c r="A44" s="31"/>
      <c r="B44" s="31">
        <f t="shared" si="1"/>
        <v>2022</v>
      </c>
      <c r="C44" s="31"/>
      <c r="D44" s="449">
        <v>1.3</v>
      </c>
      <c r="E44" s="429"/>
      <c r="F44" s="449">
        <v>0</v>
      </c>
      <c r="G44" s="429"/>
      <c r="H44" s="449">
        <v>1.6</v>
      </c>
      <c r="I44" s="145"/>
      <c r="J44" s="38">
        <f t="shared" si="2"/>
        <v>2.9207999999999901</v>
      </c>
      <c r="K44" s="31"/>
      <c r="L44" s="24">
        <f t="shared" si="3"/>
        <v>1.0552944224694554</v>
      </c>
      <c r="M44" s="31"/>
      <c r="N44" s="377"/>
      <c r="O44" s="377"/>
      <c r="P44" s="377"/>
      <c r="Q44" s="377"/>
    </row>
    <row r="45" spans="1:17" s="173" customFormat="1">
      <c r="A45" s="31"/>
      <c r="B45" s="31">
        <f t="shared" si="1"/>
        <v>2023</v>
      </c>
      <c r="C45" s="31"/>
      <c r="D45" s="449">
        <v>0.4</v>
      </c>
      <c r="E45" s="429"/>
      <c r="F45" s="449">
        <v>0</v>
      </c>
      <c r="G45" s="429"/>
      <c r="H45" s="449">
        <v>2.6</v>
      </c>
      <c r="I45" s="145"/>
      <c r="J45" s="38">
        <f t="shared" si="2"/>
        <v>3.0104000000000131</v>
      </c>
      <c r="K45" s="31"/>
      <c r="L45" s="24">
        <f t="shared" si="3"/>
        <v>1.0244542516769717</v>
      </c>
      <c r="M45" s="31"/>
      <c r="N45" s="341"/>
      <c r="O45" s="341"/>
      <c r="P45" s="341"/>
      <c r="Q45" s="341"/>
    </row>
    <row r="46" spans="1:17" s="211" customFormat="1">
      <c r="A46" s="31"/>
      <c r="B46" s="31">
        <f t="shared" si="1"/>
        <v>2024</v>
      </c>
      <c r="C46" s="31"/>
      <c r="D46" s="449">
        <v>0.4</v>
      </c>
      <c r="E46" s="429"/>
      <c r="F46" s="449">
        <v>0</v>
      </c>
      <c r="G46" s="429"/>
      <c r="H46" s="449">
        <v>1.7000000000000002</v>
      </c>
      <c r="I46" s="429"/>
      <c r="J46" s="38">
        <f t="shared" si="2"/>
        <v>2.1067999999999865</v>
      </c>
      <c r="K46" s="31"/>
      <c r="L46" s="364">
        <f>(1+J47/100)</f>
        <v>1.0033163821380866</v>
      </c>
      <c r="M46" s="31"/>
      <c r="N46" s="341"/>
      <c r="O46" s="341"/>
      <c r="P46" s="341"/>
      <c r="Q46" s="341"/>
    </row>
    <row r="47" spans="1:17" s="135" customFormat="1">
      <c r="A47" s="31"/>
      <c r="B47" s="352" t="s">
        <v>449</v>
      </c>
      <c r="C47" s="31"/>
      <c r="D47" s="449">
        <v>6.6555826393299711E-2</v>
      </c>
      <c r="E47" s="450" t="s">
        <v>555</v>
      </c>
      <c r="F47" s="449">
        <v>0</v>
      </c>
      <c r="G47" s="429"/>
      <c r="H47" s="449">
        <v>0.26490607698665958</v>
      </c>
      <c r="I47" s="450" t="s">
        <v>556</v>
      </c>
      <c r="J47" s="38">
        <f t="shared" si="2"/>
        <v>0.33163821380866043</v>
      </c>
      <c r="K47" s="31"/>
      <c r="L47" s="26"/>
      <c r="M47" s="31"/>
      <c r="N47" s="341"/>
      <c r="O47" s="341"/>
      <c r="P47" s="341"/>
      <c r="Q47" s="341"/>
    </row>
    <row r="48" spans="1:17">
      <c r="A48" s="31"/>
      <c r="B48" s="31"/>
      <c r="C48" s="31"/>
      <c r="D48" s="204"/>
      <c r="E48" s="31"/>
      <c r="F48" s="31"/>
      <c r="G48" s="31"/>
      <c r="H48" s="31"/>
      <c r="I48" s="31"/>
      <c r="J48" s="31"/>
      <c r="K48" s="31"/>
      <c r="L48" s="31"/>
      <c r="M48" s="339"/>
      <c r="N48" s="341"/>
      <c r="O48" s="341"/>
      <c r="P48" s="341"/>
      <c r="Q48" s="341"/>
    </row>
    <row r="49" spans="1:17" ht="54" customHeight="1">
      <c r="A49" s="31"/>
      <c r="B49" s="34" t="s">
        <v>22</v>
      </c>
      <c r="C49" s="510" t="s">
        <v>316</v>
      </c>
      <c r="D49" s="510"/>
      <c r="E49" s="510"/>
      <c r="F49" s="510"/>
      <c r="G49" s="510"/>
      <c r="H49" s="510"/>
      <c r="I49" s="510"/>
      <c r="J49" s="510"/>
      <c r="K49" s="510"/>
      <c r="L49" s="510"/>
      <c r="M49" s="339"/>
      <c r="N49" s="341"/>
      <c r="O49" s="341"/>
      <c r="P49" s="341"/>
      <c r="Q49" s="341"/>
    </row>
    <row r="50" spans="1:17" ht="26.15" customHeight="1">
      <c r="A50" s="31"/>
      <c r="B50" s="34" t="s">
        <v>28</v>
      </c>
      <c r="C50" s="510" t="s">
        <v>479</v>
      </c>
      <c r="D50" s="510"/>
      <c r="E50" s="510"/>
      <c r="F50" s="510"/>
      <c r="G50" s="510"/>
      <c r="H50" s="510"/>
      <c r="I50" s="510"/>
      <c r="J50" s="510"/>
      <c r="K50" s="510"/>
      <c r="L50" s="510"/>
      <c r="M50" s="339"/>
      <c r="N50" s="341"/>
      <c r="O50" s="341"/>
      <c r="P50" s="341"/>
      <c r="Q50" s="341"/>
    </row>
    <row r="51" spans="1:17" ht="14.5" customHeight="1">
      <c r="A51" s="31"/>
      <c r="B51" s="34" t="s">
        <v>38</v>
      </c>
      <c r="C51" s="510" t="s">
        <v>77</v>
      </c>
      <c r="D51" s="510"/>
      <c r="E51" s="510"/>
      <c r="F51" s="510"/>
      <c r="G51" s="510"/>
      <c r="H51" s="510"/>
      <c r="I51" s="510"/>
      <c r="J51" s="510"/>
      <c r="K51" s="510"/>
      <c r="L51" s="510"/>
      <c r="M51" s="31"/>
      <c r="N51" s="341"/>
      <c r="O51" s="341"/>
      <c r="P51" s="341"/>
      <c r="Q51" s="341"/>
    </row>
    <row r="52" spans="1:17" ht="40" customHeight="1">
      <c r="A52" s="31"/>
      <c r="B52" s="34" t="s">
        <v>57</v>
      </c>
      <c r="C52" s="510" t="s">
        <v>497</v>
      </c>
      <c r="D52" s="510"/>
      <c r="E52" s="510"/>
      <c r="F52" s="510"/>
      <c r="G52" s="510"/>
      <c r="H52" s="510"/>
      <c r="I52" s="510"/>
      <c r="J52" s="510"/>
      <c r="K52" s="510"/>
      <c r="L52" s="510"/>
      <c r="M52" s="127"/>
      <c r="N52" s="341"/>
      <c r="O52" s="341"/>
      <c r="P52" s="341"/>
      <c r="Q52" s="341"/>
    </row>
    <row r="53" spans="1:17" ht="53.25" customHeight="1">
      <c r="A53" s="31"/>
      <c r="B53" s="34" t="s">
        <v>41</v>
      </c>
      <c r="C53" s="510" t="s">
        <v>78</v>
      </c>
      <c r="D53" s="510"/>
      <c r="E53" s="510"/>
      <c r="F53" s="510"/>
      <c r="G53" s="510"/>
      <c r="H53" s="510"/>
      <c r="I53" s="510"/>
      <c r="J53" s="510"/>
      <c r="K53" s="510"/>
      <c r="L53" s="510"/>
      <c r="M53" s="339"/>
      <c r="N53" s="341"/>
      <c r="O53" s="341"/>
      <c r="P53" s="341"/>
      <c r="Q53" s="341"/>
    </row>
    <row r="55" spans="1:17" ht="14.5">
      <c r="B55" s="519" t="s">
        <v>562</v>
      </c>
      <c r="C55" s="520"/>
      <c r="D55" s="520"/>
      <c r="E55" s="520"/>
      <c r="F55" s="520"/>
      <c r="G55" s="520"/>
      <c r="H55" s="520"/>
      <c r="I55" s="521"/>
    </row>
    <row r="56" spans="1:17" ht="25">
      <c r="B56" s="453" t="s">
        <v>176</v>
      </c>
      <c r="C56" s="454" t="s">
        <v>563</v>
      </c>
      <c r="D56" s="454" t="s">
        <v>564</v>
      </c>
      <c r="E56" s="454" t="s">
        <v>565</v>
      </c>
      <c r="F56" s="66"/>
      <c r="G56" s="454" t="s">
        <v>563</v>
      </c>
      <c r="H56" s="454" t="s">
        <v>564</v>
      </c>
      <c r="I56" s="455" t="s">
        <v>566</v>
      </c>
    </row>
    <row r="57" spans="1:17">
      <c r="B57" s="456">
        <v>2002</v>
      </c>
      <c r="C57" s="457">
        <v>0.95</v>
      </c>
      <c r="D57" s="457">
        <v>5.0000000000000044E-2</v>
      </c>
      <c r="E57" s="457">
        <v>-0.3992203893047237</v>
      </c>
      <c r="F57" s="229"/>
      <c r="G57" s="457">
        <v>0.95</v>
      </c>
      <c r="H57" s="457">
        <v>5.0000000000000044E-2</v>
      </c>
      <c r="I57" s="458">
        <v>-0.2906970357788945</v>
      </c>
    </row>
    <row r="58" spans="1:17">
      <c r="B58" s="456">
        <v>2003</v>
      </c>
      <c r="C58" s="457">
        <v>0.75</v>
      </c>
      <c r="D58" s="457">
        <v>0.25</v>
      </c>
      <c r="E58" s="457">
        <v>-0.34938214862211059</v>
      </c>
      <c r="F58" s="229"/>
      <c r="G58" s="457">
        <v>0.75</v>
      </c>
      <c r="H58" s="457">
        <v>0.25</v>
      </c>
      <c r="I58" s="458">
        <v>-0.23185613768844215</v>
      </c>
    </row>
    <row r="59" spans="1:17">
      <c r="B59" s="456">
        <v>2004</v>
      </c>
      <c r="C59" s="457">
        <v>0.4</v>
      </c>
      <c r="D59" s="457">
        <v>0.6</v>
      </c>
      <c r="E59" s="457">
        <v>-0.26216522742753778</v>
      </c>
      <c r="F59" s="229"/>
      <c r="G59" s="457">
        <v>0.4</v>
      </c>
      <c r="H59" s="457">
        <v>0.6</v>
      </c>
      <c r="I59" s="458">
        <v>-0.12888456603015075</v>
      </c>
    </row>
    <row r="60" spans="1:17" ht="25">
      <c r="B60" s="459" t="s">
        <v>567</v>
      </c>
      <c r="C60" s="460">
        <v>-0.41167994947537695</v>
      </c>
      <c r="D60" s="460">
        <v>-0.16248874606231156</v>
      </c>
      <c r="E60" s="228"/>
      <c r="F60" s="228"/>
      <c r="G60" s="460">
        <v>-0.30540726030150755</v>
      </c>
      <c r="H60" s="460">
        <v>-1.1202769849246175E-2</v>
      </c>
      <c r="I60" s="461"/>
    </row>
  </sheetData>
  <mergeCells count="7">
    <mergeCell ref="B55:I55"/>
    <mergeCell ref="C52:L52"/>
    <mergeCell ref="C53:L53"/>
    <mergeCell ref="A1:M1"/>
    <mergeCell ref="C49:L49"/>
    <mergeCell ref="C50:L50"/>
    <mergeCell ref="C51:L51"/>
  </mergeCells>
  <pageMargins left="0.5" right="0.5" top="0.75" bottom="0.75" header="0.33" footer="0.33"/>
  <pageSetup scale="88" orientation="portrait" blackAndWhite="1" horizontalDpi="1200" verticalDpi="1200" r:id="rId1"/>
  <headerFooter scaleWithDoc="0">
    <oddHeader>&amp;R&amp;"Arial,Regular"&amp;10Exhibit 4.1</oddHeader>
  </headerFooter>
  <ignoredErrors>
    <ignoredError sqref="D2:I2 D3:I3 K3 K2:L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35"/>
  <sheetViews>
    <sheetView zoomScaleNormal="100" zoomScaleSheetLayoutView="115" workbookViewId="0"/>
  </sheetViews>
  <sheetFormatPr defaultColWidth="9.1796875" defaultRowHeight="12.5"/>
  <cols>
    <col min="1" max="1" width="14" style="56" customWidth="1"/>
    <col min="2" max="17" width="7.81640625" style="56" customWidth="1"/>
    <col min="18" max="16384" width="9.1796875" style="56"/>
  </cols>
  <sheetData>
    <row r="1" spans="1:17" ht="13.4" customHeight="1">
      <c r="A1" s="137" t="s">
        <v>17</v>
      </c>
      <c r="B1" s="137"/>
      <c r="C1" s="137"/>
      <c r="D1" s="137"/>
      <c r="E1" s="137"/>
      <c r="F1" s="137"/>
      <c r="G1" s="137"/>
      <c r="H1" s="137"/>
      <c r="I1" s="137"/>
      <c r="J1" s="137"/>
      <c r="K1" s="137"/>
      <c r="L1" s="137"/>
      <c r="M1" s="137"/>
      <c r="N1" s="137"/>
      <c r="O1" s="137"/>
      <c r="P1" s="137"/>
      <c r="Q1" s="137"/>
    </row>
    <row r="2" spans="1:17" ht="13.4" customHeight="1">
      <c r="A2" s="61"/>
      <c r="B2" s="61"/>
      <c r="C2" s="61"/>
      <c r="D2" s="61"/>
      <c r="E2" s="61"/>
      <c r="F2" s="61"/>
      <c r="G2" s="61"/>
      <c r="H2" s="61"/>
      <c r="I2" s="61"/>
      <c r="J2" s="61"/>
      <c r="K2" s="61"/>
      <c r="L2" s="61"/>
      <c r="M2" s="61"/>
      <c r="N2" s="61"/>
      <c r="O2" s="61"/>
      <c r="P2" s="63"/>
    </row>
    <row r="3" spans="1:17" ht="13.4" customHeight="1">
      <c r="A3" s="63"/>
      <c r="B3" s="138" t="s">
        <v>18</v>
      </c>
      <c r="C3" s="138"/>
      <c r="D3" s="138"/>
      <c r="E3" s="138"/>
      <c r="F3" s="138"/>
      <c r="G3" s="138"/>
      <c r="H3" s="138"/>
      <c r="I3" s="138"/>
      <c r="J3" s="138"/>
      <c r="K3" s="138"/>
      <c r="L3" s="138"/>
      <c r="M3" s="138"/>
      <c r="N3" s="138"/>
      <c r="O3" s="138"/>
      <c r="P3" s="138"/>
      <c r="Q3" s="138"/>
    </row>
    <row r="4" spans="1:17" ht="13.4" customHeight="1">
      <c r="A4" s="6" t="s">
        <v>19</v>
      </c>
      <c r="B4" s="6" t="s">
        <v>507</v>
      </c>
      <c r="C4" s="6" t="s">
        <v>508</v>
      </c>
      <c r="D4" s="6" t="s">
        <v>509</v>
      </c>
      <c r="E4" s="6" t="s">
        <v>510</v>
      </c>
      <c r="F4" s="6" t="s">
        <v>511</v>
      </c>
      <c r="G4" s="6" t="s">
        <v>512</v>
      </c>
      <c r="H4" s="6" t="s">
        <v>513</v>
      </c>
      <c r="I4" s="6" t="s">
        <v>514</v>
      </c>
      <c r="J4" s="6" t="s">
        <v>515</v>
      </c>
      <c r="K4" s="6" t="s">
        <v>516</v>
      </c>
      <c r="L4" s="6" t="s">
        <v>517</v>
      </c>
      <c r="M4" s="6" t="s">
        <v>518</v>
      </c>
      <c r="N4" s="6" t="s">
        <v>519</v>
      </c>
      <c r="O4" s="6" t="s">
        <v>520</v>
      </c>
      <c r="P4" s="6" t="s">
        <v>521</v>
      </c>
      <c r="Q4" s="6" t="s">
        <v>522</v>
      </c>
    </row>
    <row r="5" spans="1:17" ht="13.4" customHeight="1">
      <c r="A5" s="7">
        <f t="shared" ref="A5:A29" si="0">+A6-1</f>
        <v>1996</v>
      </c>
      <c r="B5" s="402" t="s">
        <v>34</v>
      </c>
      <c r="C5" s="402" t="s">
        <v>34</v>
      </c>
      <c r="D5" s="402" t="s">
        <v>34</v>
      </c>
      <c r="E5" s="402" t="s">
        <v>34</v>
      </c>
      <c r="F5" s="402" t="s">
        <v>34</v>
      </c>
      <c r="G5" s="402" t="s">
        <v>34</v>
      </c>
      <c r="H5" s="402" t="s">
        <v>34</v>
      </c>
      <c r="I5" s="402" t="s">
        <v>34</v>
      </c>
      <c r="J5" s="402" t="s">
        <v>34</v>
      </c>
      <c r="K5" s="402" t="s">
        <v>34</v>
      </c>
      <c r="L5" s="402" t="s">
        <v>34</v>
      </c>
      <c r="M5" s="402" t="s">
        <v>34</v>
      </c>
      <c r="N5" s="402">
        <v>1</v>
      </c>
      <c r="O5" s="402">
        <v>1</v>
      </c>
      <c r="P5" s="402">
        <v>1.0009999999999999</v>
      </c>
      <c r="Q5" s="402">
        <v>1.002</v>
      </c>
    </row>
    <row r="6" spans="1:17" ht="13.4" customHeight="1">
      <c r="A6" s="7">
        <f t="shared" si="0"/>
        <v>1997</v>
      </c>
      <c r="B6" s="402" t="s">
        <v>34</v>
      </c>
      <c r="C6" s="402" t="s">
        <v>34</v>
      </c>
      <c r="D6" s="402" t="s">
        <v>34</v>
      </c>
      <c r="E6" s="402" t="s">
        <v>34</v>
      </c>
      <c r="F6" s="402" t="s">
        <v>34</v>
      </c>
      <c r="G6" s="402" t="s">
        <v>34</v>
      </c>
      <c r="H6" s="402" t="s">
        <v>34</v>
      </c>
      <c r="I6" s="402" t="s">
        <v>34</v>
      </c>
      <c r="J6" s="402" t="s">
        <v>34</v>
      </c>
      <c r="K6" s="402" t="s">
        <v>34</v>
      </c>
      <c r="L6" s="402" t="s">
        <v>34</v>
      </c>
      <c r="M6" s="402">
        <v>1.002</v>
      </c>
      <c r="N6" s="402">
        <v>1.0029999999999999</v>
      </c>
      <c r="O6" s="402">
        <v>1.002</v>
      </c>
      <c r="P6" s="402">
        <v>1.0009999999999999</v>
      </c>
      <c r="Q6" s="402">
        <v>1.0009999999999999</v>
      </c>
    </row>
    <row r="7" spans="1:17" ht="13.4" customHeight="1">
      <c r="A7" s="7">
        <f t="shared" si="0"/>
        <v>1998</v>
      </c>
      <c r="B7" s="402" t="s">
        <v>34</v>
      </c>
      <c r="C7" s="402" t="s">
        <v>34</v>
      </c>
      <c r="D7" s="402" t="s">
        <v>34</v>
      </c>
      <c r="E7" s="402" t="s">
        <v>34</v>
      </c>
      <c r="F7" s="402" t="s">
        <v>34</v>
      </c>
      <c r="G7" s="402" t="s">
        <v>34</v>
      </c>
      <c r="H7" s="402" t="s">
        <v>34</v>
      </c>
      <c r="I7" s="402" t="s">
        <v>34</v>
      </c>
      <c r="J7" s="402" t="s">
        <v>34</v>
      </c>
      <c r="K7" s="402" t="s">
        <v>34</v>
      </c>
      <c r="L7" s="402">
        <v>1.002</v>
      </c>
      <c r="M7" s="402">
        <v>1.0029999999999999</v>
      </c>
      <c r="N7" s="402">
        <v>1.004</v>
      </c>
      <c r="O7" s="402">
        <v>1.0009999999999999</v>
      </c>
      <c r="P7" s="402">
        <v>1.002</v>
      </c>
      <c r="Q7" s="402">
        <v>1.0009999999999999</v>
      </c>
    </row>
    <row r="8" spans="1:17" ht="13.4" customHeight="1">
      <c r="A8" s="7">
        <f t="shared" si="0"/>
        <v>1999</v>
      </c>
      <c r="B8" s="402" t="s">
        <v>34</v>
      </c>
      <c r="C8" s="402" t="s">
        <v>34</v>
      </c>
      <c r="D8" s="402" t="s">
        <v>34</v>
      </c>
      <c r="E8" s="402" t="s">
        <v>34</v>
      </c>
      <c r="F8" s="402" t="s">
        <v>34</v>
      </c>
      <c r="G8" s="402" t="s">
        <v>34</v>
      </c>
      <c r="H8" s="402" t="s">
        <v>34</v>
      </c>
      <c r="I8" s="402" t="s">
        <v>34</v>
      </c>
      <c r="J8" s="402" t="s">
        <v>34</v>
      </c>
      <c r="K8" s="402">
        <v>1.004</v>
      </c>
      <c r="L8" s="402">
        <v>1.002</v>
      </c>
      <c r="M8" s="402">
        <v>1.0029999999999999</v>
      </c>
      <c r="N8" s="402">
        <v>1.0029999999999999</v>
      </c>
      <c r="O8" s="402">
        <v>1.002</v>
      </c>
      <c r="P8" s="402">
        <v>1.002</v>
      </c>
      <c r="Q8" s="402">
        <v>1.0009999999999999</v>
      </c>
    </row>
    <row r="9" spans="1:17" ht="13.4" customHeight="1">
      <c r="A9" s="7">
        <f t="shared" si="0"/>
        <v>2000</v>
      </c>
      <c r="B9" s="402" t="s">
        <v>34</v>
      </c>
      <c r="C9" s="402" t="s">
        <v>34</v>
      </c>
      <c r="D9" s="402" t="s">
        <v>34</v>
      </c>
      <c r="E9" s="402" t="s">
        <v>34</v>
      </c>
      <c r="F9" s="402" t="s">
        <v>34</v>
      </c>
      <c r="G9" s="402" t="s">
        <v>34</v>
      </c>
      <c r="H9" s="402" t="s">
        <v>34</v>
      </c>
      <c r="I9" s="402" t="s">
        <v>34</v>
      </c>
      <c r="J9" s="402">
        <v>1.004</v>
      </c>
      <c r="K9" s="402">
        <v>1.004</v>
      </c>
      <c r="L9" s="402">
        <v>1.0049999999999999</v>
      </c>
      <c r="M9" s="402">
        <v>1.0029999999999999</v>
      </c>
      <c r="N9" s="402">
        <v>1.0009999999999999</v>
      </c>
      <c r="O9" s="402">
        <v>1.004</v>
      </c>
      <c r="P9" s="402">
        <v>1.002</v>
      </c>
      <c r="Q9" s="402">
        <v>1</v>
      </c>
    </row>
    <row r="10" spans="1:17" ht="13.4" customHeight="1">
      <c r="A10" s="7">
        <f t="shared" si="0"/>
        <v>2001</v>
      </c>
      <c r="B10" s="402" t="s">
        <v>34</v>
      </c>
      <c r="C10" s="402" t="s">
        <v>34</v>
      </c>
      <c r="D10" s="402" t="s">
        <v>34</v>
      </c>
      <c r="E10" s="402" t="s">
        <v>34</v>
      </c>
      <c r="F10" s="402" t="s">
        <v>34</v>
      </c>
      <c r="G10" s="402" t="s">
        <v>34</v>
      </c>
      <c r="H10" s="402" t="s">
        <v>34</v>
      </c>
      <c r="I10" s="402">
        <v>1.0089999999999999</v>
      </c>
      <c r="J10" s="402">
        <v>1.006</v>
      </c>
      <c r="K10" s="402">
        <v>1.0069999999999999</v>
      </c>
      <c r="L10" s="402">
        <v>1.006</v>
      </c>
      <c r="M10" s="402">
        <v>1.0049999999999999</v>
      </c>
      <c r="N10" s="402">
        <v>1.0029999999999999</v>
      </c>
      <c r="O10" s="402">
        <v>1.002</v>
      </c>
      <c r="P10" s="402">
        <v>1.0009999999999999</v>
      </c>
      <c r="Q10" s="402">
        <v>1.0009999999999999</v>
      </c>
    </row>
    <row r="11" spans="1:17" ht="13.4" customHeight="1">
      <c r="A11" s="7">
        <f t="shared" si="0"/>
        <v>2002</v>
      </c>
      <c r="B11" s="402" t="s">
        <v>34</v>
      </c>
      <c r="C11" s="402" t="s">
        <v>34</v>
      </c>
      <c r="D11" s="402" t="s">
        <v>34</v>
      </c>
      <c r="E11" s="402" t="s">
        <v>34</v>
      </c>
      <c r="F11" s="402" t="s">
        <v>34</v>
      </c>
      <c r="G11" s="402" t="s">
        <v>34</v>
      </c>
      <c r="H11" s="402">
        <v>1.0109999999999999</v>
      </c>
      <c r="I11" s="402">
        <v>1.01</v>
      </c>
      <c r="J11" s="402">
        <v>1.01</v>
      </c>
      <c r="K11" s="402">
        <v>1.0069999999999999</v>
      </c>
      <c r="L11" s="402">
        <v>1.0049999999999999</v>
      </c>
      <c r="M11" s="402">
        <v>1.0029999999999999</v>
      </c>
      <c r="N11" s="402">
        <v>1.002</v>
      </c>
      <c r="O11" s="402">
        <v>1.002</v>
      </c>
      <c r="P11" s="402">
        <v>1.0029999999999999</v>
      </c>
      <c r="Q11" s="402">
        <v>1.002</v>
      </c>
    </row>
    <row r="12" spans="1:17" ht="13.4" customHeight="1">
      <c r="A12" s="7">
        <f t="shared" si="0"/>
        <v>2003</v>
      </c>
      <c r="B12" s="402" t="s">
        <v>34</v>
      </c>
      <c r="C12" s="402" t="s">
        <v>34</v>
      </c>
      <c r="D12" s="402" t="s">
        <v>34</v>
      </c>
      <c r="E12" s="402" t="s">
        <v>34</v>
      </c>
      <c r="F12" s="402" t="s">
        <v>34</v>
      </c>
      <c r="G12" s="402">
        <v>1.0209999999999999</v>
      </c>
      <c r="H12" s="402">
        <v>1.018</v>
      </c>
      <c r="I12" s="402">
        <v>1.0149999999999999</v>
      </c>
      <c r="J12" s="402">
        <v>1.0149999999999999</v>
      </c>
      <c r="K12" s="402">
        <v>1.0089999999999999</v>
      </c>
      <c r="L12" s="402">
        <v>1.006</v>
      </c>
      <c r="M12" s="402">
        <v>1.004</v>
      </c>
      <c r="N12" s="402">
        <v>1.0029999999999999</v>
      </c>
      <c r="O12" s="402">
        <v>1.002</v>
      </c>
      <c r="P12" s="402">
        <v>1.002</v>
      </c>
      <c r="Q12" s="402">
        <v>1.004</v>
      </c>
    </row>
    <row r="13" spans="1:17" ht="13.4" customHeight="1">
      <c r="A13" s="7">
        <f t="shared" si="0"/>
        <v>2004</v>
      </c>
      <c r="B13" s="402" t="s">
        <v>34</v>
      </c>
      <c r="C13" s="402" t="s">
        <v>34</v>
      </c>
      <c r="D13" s="402" t="s">
        <v>34</v>
      </c>
      <c r="E13" s="402" t="s">
        <v>34</v>
      </c>
      <c r="F13" s="402">
        <v>1.0409999999999999</v>
      </c>
      <c r="G13" s="402">
        <v>1.026</v>
      </c>
      <c r="H13" s="402">
        <v>1.028</v>
      </c>
      <c r="I13" s="402">
        <v>1.018</v>
      </c>
      <c r="J13" s="402">
        <v>1.014</v>
      </c>
      <c r="K13" s="402">
        <v>1.0069999999999999</v>
      </c>
      <c r="L13" s="402">
        <v>1.0069999999999999</v>
      </c>
      <c r="M13" s="402">
        <v>1.0029999999999999</v>
      </c>
      <c r="N13" s="402">
        <v>1.0009999999999999</v>
      </c>
      <c r="O13" s="402">
        <v>1.002</v>
      </c>
      <c r="P13" s="402">
        <v>1.006</v>
      </c>
      <c r="Q13" s="402">
        <v>1.0009999999999999</v>
      </c>
    </row>
    <row r="14" spans="1:17" ht="13.4" customHeight="1">
      <c r="A14" s="7">
        <f t="shared" si="0"/>
        <v>2005</v>
      </c>
      <c r="B14" s="402" t="s">
        <v>34</v>
      </c>
      <c r="C14" s="402" t="s">
        <v>34</v>
      </c>
      <c r="D14" s="402" t="s">
        <v>34</v>
      </c>
      <c r="E14" s="402">
        <v>1.0680000000000001</v>
      </c>
      <c r="F14" s="402">
        <v>1.0529999999999999</v>
      </c>
      <c r="G14" s="402">
        <v>1.04</v>
      </c>
      <c r="H14" s="402">
        <v>1.028</v>
      </c>
      <c r="I14" s="402">
        <v>1.016</v>
      </c>
      <c r="J14" s="402">
        <v>1.012</v>
      </c>
      <c r="K14" s="402">
        <v>1.006</v>
      </c>
      <c r="L14" s="402">
        <v>1.0049999999999999</v>
      </c>
      <c r="M14" s="402">
        <v>1.006</v>
      </c>
      <c r="N14" s="402">
        <v>1.0029999999999999</v>
      </c>
      <c r="O14" s="402">
        <v>1.004</v>
      </c>
      <c r="P14" s="402">
        <v>1.004</v>
      </c>
      <c r="Q14" s="402">
        <v>1.002</v>
      </c>
    </row>
    <row r="15" spans="1:17" ht="13.4" customHeight="1">
      <c r="A15" s="7">
        <f t="shared" si="0"/>
        <v>2006</v>
      </c>
      <c r="B15" s="402" t="s">
        <v>34</v>
      </c>
      <c r="C15" s="402" t="s">
        <v>34</v>
      </c>
      <c r="D15" s="402">
        <v>1.111</v>
      </c>
      <c r="E15" s="402">
        <v>1.08</v>
      </c>
      <c r="F15" s="402">
        <v>1.0529999999999999</v>
      </c>
      <c r="G15" s="402">
        <v>1.0349999999999999</v>
      </c>
      <c r="H15" s="402">
        <v>1.0229999999999999</v>
      </c>
      <c r="I15" s="402">
        <v>1.0149999999999999</v>
      </c>
      <c r="J15" s="402">
        <v>1.0089999999999999</v>
      </c>
      <c r="K15" s="402">
        <v>1.0069999999999999</v>
      </c>
      <c r="L15" s="402">
        <v>1.004</v>
      </c>
      <c r="M15" s="402">
        <v>1.0049999999999999</v>
      </c>
      <c r="N15" s="402">
        <v>1.002</v>
      </c>
      <c r="O15" s="402">
        <v>1.0049999999999999</v>
      </c>
      <c r="P15" s="402">
        <v>1.0009999999999999</v>
      </c>
      <c r="Q15" s="402">
        <v>1.0029999999999999</v>
      </c>
    </row>
    <row r="16" spans="1:17" ht="13.4" customHeight="1">
      <c r="A16" s="7">
        <f t="shared" si="0"/>
        <v>2007</v>
      </c>
      <c r="B16" s="402" t="s">
        <v>34</v>
      </c>
      <c r="C16" s="402">
        <v>1.2729999999999999</v>
      </c>
      <c r="D16" s="402">
        <v>1.1200000000000001</v>
      </c>
      <c r="E16" s="402">
        <v>1.07</v>
      </c>
      <c r="F16" s="402">
        <v>1.0489999999999999</v>
      </c>
      <c r="G16" s="402">
        <v>1.0369999999999999</v>
      </c>
      <c r="H16" s="402">
        <v>1.022</v>
      </c>
      <c r="I16" s="402">
        <v>1.012</v>
      </c>
      <c r="J16" s="402">
        <v>1.0109999999999999</v>
      </c>
      <c r="K16" s="402">
        <v>1.0049999999999999</v>
      </c>
      <c r="L16" s="402">
        <v>1.0069999999999999</v>
      </c>
      <c r="M16" s="402">
        <v>1.01</v>
      </c>
      <c r="N16" s="402">
        <v>1.0009999999999999</v>
      </c>
      <c r="O16" s="402">
        <v>1.0029999999999999</v>
      </c>
      <c r="P16" s="402">
        <v>1.0029999999999999</v>
      </c>
      <c r="Q16" s="402" t="s">
        <v>34</v>
      </c>
    </row>
    <row r="17" spans="1:17" ht="13.4" customHeight="1">
      <c r="A17" s="7">
        <f t="shared" si="0"/>
        <v>2008</v>
      </c>
      <c r="B17" s="402">
        <v>1.8580000000000001</v>
      </c>
      <c r="C17" s="402">
        <v>1.302</v>
      </c>
      <c r="D17" s="402">
        <v>1.1359999999999999</v>
      </c>
      <c r="E17" s="402">
        <v>1.0740000000000001</v>
      </c>
      <c r="F17" s="402">
        <v>1.0449999999999999</v>
      </c>
      <c r="G17" s="402">
        <v>1.03</v>
      </c>
      <c r="H17" s="402">
        <v>1.0189999999999999</v>
      </c>
      <c r="I17" s="402">
        <v>1.012</v>
      </c>
      <c r="J17" s="402">
        <v>1.0089999999999999</v>
      </c>
      <c r="K17" s="402">
        <v>1.006</v>
      </c>
      <c r="L17" s="402">
        <v>1.0069999999999999</v>
      </c>
      <c r="M17" s="402">
        <v>1.006</v>
      </c>
      <c r="N17" s="402">
        <v>1.0049999999999999</v>
      </c>
      <c r="O17" s="402">
        <v>1.002</v>
      </c>
      <c r="P17" s="402" t="s">
        <v>34</v>
      </c>
      <c r="Q17" s="402" t="s">
        <v>34</v>
      </c>
    </row>
    <row r="18" spans="1:17" ht="13.4" customHeight="1">
      <c r="A18" s="7">
        <f t="shared" si="0"/>
        <v>2009</v>
      </c>
      <c r="B18" s="402">
        <v>1.9830000000000001</v>
      </c>
      <c r="C18" s="402">
        <v>1.2929999999999999</v>
      </c>
      <c r="D18" s="402">
        <v>1.1419999999999999</v>
      </c>
      <c r="E18" s="402">
        <v>1.0760000000000001</v>
      </c>
      <c r="F18" s="402">
        <v>1.048</v>
      </c>
      <c r="G18" s="402">
        <v>1.024</v>
      </c>
      <c r="H18" s="402">
        <v>1.0189999999999999</v>
      </c>
      <c r="I18" s="402">
        <v>1.014</v>
      </c>
      <c r="J18" s="402">
        <v>1.0089999999999999</v>
      </c>
      <c r="K18" s="402">
        <v>1.01</v>
      </c>
      <c r="L18" s="402">
        <v>1.0049999999999999</v>
      </c>
      <c r="M18" s="402">
        <v>1.008</v>
      </c>
      <c r="N18" s="402">
        <v>1.0069999999999999</v>
      </c>
      <c r="O18" s="402" t="s">
        <v>34</v>
      </c>
      <c r="P18" s="402" t="s">
        <v>34</v>
      </c>
      <c r="Q18" s="402" t="s">
        <v>34</v>
      </c>
    </row>
    <row r="19" spans="1:17" ht="13.4" customHeight="1">
      <c r="A19" s="7">
        <f t="shared" si="0"/>
        <v>2010</v>
      </c>
      <c r="B19" s="402">
        <v>1.994</v>
      </c>
      <c r="C19" s="402">
        <v>1.3149999999999999</v>
      </c>
      <c r="D19" s="402">
        <v>1.131</v>
      </c>
      <c r="E19" s="402">
        <v>1.069</v>
      </c>
      <c r="F19" s="402">
        <v>1.0449999999999999</v>
      </c>
      <c r="G19" s="402">
        <v>1.026</v>
      </c>
      <c r="H19" s="402">
        <v>1.016</v>
      </c>
      <c r="I19" s="402">
        <v>1.012</v>
      </c>
      <c r="J19" s="402">
        <v>1.012</v>
      </c>
      <c r="K19" s="402">
        <v>1.006</v>
      </c>
      <c r="L19" s="402">
        <v>1.004</v>
      </c>
      <c r="M19" s="402">
        <v>1.004</v>
      </c>
      <c r="N19" s="402" t="s">
        <v>34</v>
      </c>
      <c r="O19" s="402" t="s">
        <v>34</v>
      </c>
      <c r="P19" s="402" t="s">
        <v>34</v>
      </c>
      <c r="Q19" s="402" t="s">
        <v>34</v>
      </c>
    </row>
    <row r="20" spans="1:17" ht="13.4" customHeight="1">
      <c r="A20" s="7">
        <f t="shared" si="0"/>
        <v>2011</v>
      </c>
      <c r="B20" s="402">
        <v>1.9970000000000001</v>
      </c>
      <c r="C20" s="402">
        <v>1.2769999999999999</v>
      </c>
      <c r="D20" s="402">
        <v>1.133</v>
      </c>
      <c r="E20" s="402">
        <v>1.0609999999999999</v>
      </c>
      <c r="F20" s="402">
        <v>1.0369999999999999</v>
      </c>
      <c r="G20" s="402">
        <v>1.022</v>
      </c>
      <c r="H20" s="402">
        <v>1.0189999999999999</v>
      </c>
      <c r="I20" s="402">
        <v>1.0109999999999999</v>
      </c>
      <c r="J20" s="402">
        <v>1.008</v>
      </c>
      <c r="K20" s="402">
        <v>1.0069999999999999</v>
      </c>
      <c r="L20" s="402">
        <v>1.004</v>
      </c>
      <c r="M20" s="402" t="s">
        <v>34</v>
      </c>
      <c r="N20" s="402" t="s">
        <v>34</v>
      </c>
      <c r="O20" s="402" t="s">
        <v>34</v>
      </c>
      <c r="P20" s="402" t="s">
        <v>34</v>
      </c>
      <c r="Q20" s="402" t="s">
        <v>34</v>
      </c>
    </row>
    <row r="21" spans="1:17" ht="13.4" customHeight="1">
      <c r="A21" s="7">
        <f t="shared" si="0"/>
        <v>2012</v>
      </c>
      <c r="B21" s="402">
        <v>1.992</v>
      </c>
      <c r="C21" s="402">
        <v>1.2789999999999999</v>
      </c>
      <c r="D21" s="402">
        <v>1.113</v>
      </c>
      <c r="E21" s="402">
        <v>1.0629999999999999</v>
      </c>
      <c r="F21" s="402">
        <v>1.0409999999999999</v>
      </c>
      <c r="G21" s="402">
        <v>1.0229999999999999</v>
      </c>
      <c r="H21" s="402">
        <v>1.016</v>
      </c>
      <c r="I21" s="402">
        <v>1.0129999999999999</v>
      </c>
      <c r="J21" s="402">
        <v>1.0069999999999999</v>
      </c>
      <c r="K21" s="402">
        <v>1.0069999999999999</v>
      </c>
      <c r="L21" s="402" t="s">
        <v>34</v>
      </c>
      <c r="M21" s="402" t="s">
        <v>34</v>
      </c>
      <c r="N21" s="402" t="s">
        <v>34</v>
      </c>
      <c r="O21" s="402" t="s">
        <v>34</v>
      </c>
      <c r="P21" s="402" t="s">
        <v>34</v>
      </c>
      <c r="Q21" s="402" t="s">
        <v>34</v>
      </c>
    </row>
    <row r="22" spans="1:17" ht="13.4" customHeight="1">
      <c r="A22" s="7">
        <f t="shared" si="0"/>
        <v>2013</v>
      </c>
      <c r="B22" s="402">
        <v>1.931</v>
      </c>
      <c r="C22" s="402">
        <v>1.2589999999999999</v>
      </c>
      <c r="D22" s="402">
        <v>1.111</v>
      </c>
      <c r="E22" s="402">
        <v>1.0549999999999999</v>
      </c>
      <c r="F22" s="402">
        <v>1.032</v>
      </c>
      <c r="G22" s="402">
        <v>1.02</v>
      </c>
      <c r="H22" s="402">
        <v>1.0129999999999999</v>
      </c>
      <c r="I22" s="402">
        <v>1.0069999999999999</v>
      </c>
      <c r="J22" s="402">
        <v>1.006</v>
      </c>
      <c r="K22" s="402" t="s">
        <v>34</v>
      </c>
      <c r="L22" s="402" t="s">
        <v>34</v>
      </c>
      <c r="M22" s="402" t="s">
        <v>34</v>
      </c>
      <c r="N22" s="402" t="s">
        <v>34</v>
      </c>
      <c r="O22" s="402" t="s">
        <v>34</v>
      </c>
      <c r="P22" s="402" t="s">
        <v>34</v>
      </c>
      <c r="Q22" s="402" t="s">
        <v>34</v>
      </c>
    </row>
    <row r="23" spans="1:17" ht="13.4" customHeight="1">
      <c r="A23" s="7">
        <f t="shared" si="0"/>
        <v>2014</v>
      </c>
      <c r="B23" s="402">
        <v>1.96</v>
      </c>
      <c r="C23" s="402">
        <v>1.278</v>
      </c>
      <c r="D23" s="402">
        <v>1.115</v>
      </c>
      <c r="E23" s="402">
        <v>1.0589999999999999</v>
      </c>
      <c r="F23" s="402">
        <v>1.0289999999999999</v>
      </c>
      <c r="G23" s="402">
        <v>1.016</v>
      </c>
      <c r="H23" s="402">
        <v>1.0109999999999999</v>
      </c>
      <c r="I23" s="402">
        <v>1.006</v>
      </c>
      <c r="J23" s="402" t="s">
        <v>34</v>
      </c>
      <c r="K23" s="402" t="s">
        <v>34</v>
      </c>
      <c r="L23" s="402" t="s">
        <v>34</v>
      </c>
      <c r="M23" s="402" t="s">
        <v>34</v>
      </c>
      <c r="N23" s="402" t="s">
        <v>34</v>
      </c>
      <c r="O23" s="402" t="s">
        <v>34</v>
      </c>
      <c r="P23" s="402" t="s">
        <v>34</v>
      </c>
      <c r="Q23" s="402" t="s">
        <v>34</v>
      </c>
    </row>
    <row r="24" spans="1:17" ht="13.4" customHeight="1">
      <c r="A24" s="7">
        <f t="shared" si="0"/>
        <v>2015</v>
      </c>
      <c r="B24" s="402">
        <v>1.9690000000000001</v>
      </c>
      <c r="C24" s="402">
        <v>1.26</v>
      </c>
      <c r="D24" s="402">
        <v>1.101</v>
      </c>
      <c r="E24" s="402">
        <v>1.0469999999999999</v>
      </c>
      <c r="F24" s="402">
        <v>1.0269999999999999</v>
      </c>
      <c r="G24" s="402">
        <v>1.0169999999999999</v>
      </c>
      <c r="H24" s="402">
        <v>1.0089999999999999</v>
      </c>
      <c r="I24" s="402" t="s">
        <v>34</v>
      </c>
      <c r="J24" s="402" t="s">
        <v>34</v>
      </c>
      <c r="K24" s="402" t="s">
        <v>34</v>
      </c>
      <c r="L24" s="402" t="s">
        <v>34</v>
      </c>
      <c r="M24" s="402" t="s">
        <v>34</v>
      </c>
      <c r="N24" s="402" t="s">
        <v>34</v>
      </c>
      <c r="O24" s="402" t="s">
        <v>34</v>
      </c>
      <c r="P24" s="402" t="s">
        <v>34</v>
      </c>
      <c r="Q24" s="402" t="s">
        <v>34</v>
      </c>
    </row>
    <row r="25" spans="1:17" ht="13.4" customHeight="1">
      <c r="A25" s="7">
        <f t="shared" si="0"/>
        <v>2016</v>
      </c>
      <c r="B25" s="402">
        <v>1.9410000000000001</v>
      </c>
      <c r="C25" s="402">
        <v>1.246</v>
      </c>
      <c r="D25" s="402">
        <v>1.095</v>
      </c>
      <c r="E25" s="402">
        <v>1.046</v>
      </c>
      <c r="F25" s="402">
        <v>1.026</v>
      </c>
      <c r="G25" s="402">
        <v>1.0169999999999999</v>
      </c>
      <c r="H25" s="402" t="s">
        <v>34</v>
      </c>
      <c r="I25" s="402" t="s">
        <v>34</v>
      </c>
      <c r="J25" s="402" t="s">
        <v>34</v>
      </c>
      <c r="K25" s="402" t="s">
        <v>34</v>
      </c>
      <c r="L25" s="402" t="s">
        <v>34</v>
      </c>
      <c r="M25" s="402" t="s">
        <v>34</v>
      </c>
      <c r="N25" s="402" t="s">
        <v>34</v>
      </c>
      <c r="O25" s="402" t="s">
        <v>34</v>
      </c>
      <c r="P25" s="402" t="s">
        <v>34</v>
      </c>
      <c r="Q25" s="402" t="s">
        <v>34</v>
      </c>
    </row>
    <row r="26" spans="1:17" ht="13.4" customHeight="1">
      <c r="A26" s="7">
        <f t="shared" si="0"/>
        <v>2017</v>
      </c>
      <c r="B26" s="402">
        <v>1.911</v>
      </c>
      <c r="C26" s="402">
        <v>1.2410000000000001</v>
      </c>
      <c r="D26" s="402">
        <v>1.0880000000000001</v>
      </c>
      <c r="E26" s="402">
        <v>1.0429999999999999</v>
      </c>
      <c r="F26" s="402">
        <v>1.0289999999999999</v>
      </c>
      <c r="G26" s="402" t="s">
        <v>34</v>
      </c>
      <c r="H26" s="402" t="s">
        <v>34</v>
      </c>
      <c r="I26" s="402" t="s">
        <v>34</v>
      </c>
      <c r="J26" s="402" t="s">
        <v>34</v>
      </c>
      <c r="K26" s="402" t="s">
        <v>34</v>
      </c>
      <c r="L26" s="402" t="s">
        <v>34</v>
      </c>
      <c r="M26" s="402" t="s">
        <v>34</v>
      </c>
      <c r="N26" s="402" t="s">
        <v>34</v>
      </c>
      <c r="O26" s="402" t="s">
        <v>34</v>
      </c>
      <c r="P26" s="402" t="s">
        <v>34</v>
      </c>
      <c r="Q26" s="402" t="s">
        <v>34</v>
      </c>
    </row>
    <row r="27" spans="1:17" ht="13.4" customHeight="1">
      <c r="A27" s="7">
        <f t="shared" si="0"/>
        <v>2018</v>
      </c>
      <c r="B27" s="402">
        <v>1.901</v>
      </c>
      <c r="C27" s="402">
        <v>1.228</v>
      </c>
      <c r="D27" s="402">
        <v>1.083</v>
      </c>
      <c r="E27" s="402">
        <v>1.0449999999999999</v>
      </c>
      <c r="F27" s="402" t="s">
        <v>34</v>
      </c>
      <c r="G27" s="402" t="s">
        <v>34</v>
      </c>
      <c r="H27" s="402" t="s">
        <v>34</v>
      </c>
      <c r="I27" s="402" t="s">
        <v>34</v>
      </c>
      <c r="J27" s="402" t="s">
        <v>34</v>
      </c>
      <c r="K27" s="402" t="s">
        <v>34</v>
      </c>
      <c r="L27" s="402" t="s">
        <v>34</v>
      </c>
      <c r="M27" s="402" t="s">
        <v>34</v>
      </c>
      <c r="N27" s="402" t="s">
        <v>34</v>
      </c>
      <c r="O27" s="402" t="s">
        <v>34</v>
      </c>
      <c r="P27" s="402" t="s">
        <v>34</v>
      </c>
      <c r="Q27" s="402" t="s">
        <v>34</v>
      </c>
    </row>
    <row r="28" spans="1:17" ht="13.4" customHeight="1">
      <c r="A28" s="7">
        <f>+A29-1</f>
        <v>2019</v>
      </c>
      <c r="B28" s="402">
        <v>1.9</v>
      </c>
      <c r="C28" s="402">
        <v>1.2310000000000001</v>
      </c>
      <c r="D28" s="402">
        <v>1.101</v>
      </c>
      <c r="E28" s="402" t="s">
        <v>34</v>
      </c>
      <c r="F28" s="402" t="s">
        <v>34</v>
      </c>
      <c r="G28" s="402" t="s">
        <v>34</v>
      </c>
      <c r="H28" s="402" t="s">
        <v>34</v>
      </c>
      <c r="I28" s="402" t="s">
        <v>34</v>
      </c>
      <c r="J28" s="402" t="s">
        <v>34</v>
      </c>
      <c r="K28" s="402" t="s">
        <v>34</v>
      </c>
      <c r="L28" s="402" t="s">
        <v>34</v>
      </c>
      <c r="M28" s="402" t="s">
        <v>34</v>
      </c>
      <c r="N28" s="402" t="s">
        <v>34</v>
      </c>
      <c r="O28" s="402" t="s">
        <v>34</v>
      </c>
      <c r="P28" s="402" t="s">
        <v>34</v>
      </c>
      <c r="Q28" s="402" t="s">
        <v>34</v>
      </c>
    </row>
    <row r="29" spans="1:17" ht="13.4" customHeight="1">
      <c r="A29" s="7">
        <f t="shared" si="0"/>
        <v>2020</v>
      </c>
      <c r="B29" s="402">
        <v>1.8149999999999999</v>
      </c>
      <c r="C29" s="402">
        <v>1.2410000000000001</v>
      </c>
      <c r="D29" s="402" t="s">
        <v>34</v>
      </c>
      <c r="E29" s="402" t="s">
        <v>34</v>
      </c>
      <c r="F29" s="402" t="s">
        <v>34</v>
      </c>
      <c r="G29" s="402" t="s">
        <v>34</v>
      </c>
      <c r="H29" s="402" t="s">
        <v>34</v>
      </c>
      <c r="I29" s="402" t="s">
        <v>34</v>
      </c>
      <c r="J29" s="402" t="s">
        <v>34</v>
      </c>
      <c r="K29" s="402" t="s">
        <v>34</v>
      </c>
      <c r="L29" s="402" t="s">
        <v>34</v>
      </c>
      <c r="M29" s="402" t="s">
        <v>34</v>
      </c>
      <c r="N29" s="402" t="s">
        <v>34</v>
      </c>
      <c r="O29" s="402" t="s">
        <v>34</v>
      </c>
      <c r="P29" s="402" t="s">
        <v>34</v>
      </c>
      <c r="Q29" s="402" t="s">
        <v>34</v>
      </c>
    </row>
    <row r="30" spans="1:17" ht="13.4" customHeight="1">
      <c r="A30" s="7">
        <v>2021</v>
      </c>
      <c r="B30" s="402">
        <v>1.913</v>
      </c>
      <c r="C30" s="402" t="s">
        <v>34</v>
      </c>
      <c r="D30" s="402" t="s">
        <v>34</v>
      </c>
      <c r="E30" s="402" t="s">
        <v>34</v>
      </c>
      <c r="F30" s="402" t="s">
        <v>34</v>
      </c>
      <c r="G30" s="402" t="s">
        <v>34</v>
      </c>
      <c r="H30" s="402" t="s">
        <v>34</v>
      </c>
      <c r="I30" s="402" t="s">
        <v>34</v>
      </c>
      <c r="J30" s="402" t="s">
        <v>34</v>
      </c>
      <c r="K30" s="402" t="s">
        <v>34</v>
      </c>
      <c r="L30" s="402" t="s">
        <v>34</v>
      </c>
      <c r="M30" s="402" t="s">
        <v>34</v>
      </c>
      <c r="N30" s="402" t="s">
        <v>34</v>
      </c>
      <c r="O30" s="402" t="s">
        <v>34</v>
      </c>
      <c r="P30" s="402" t="s">
        <v>34</v>
      </c>
      <c r="Q30" s="402" t="s">
        <v>34</v>
      </c>
    </row>
    <row r="31" spans="1:17" ht="13.4" customHeight="1">
      <c r="B31" s="63"/>
      <c r="C31" s="63"/>
      <c r="D31" s="63"/>
      <c r="E31" s="63"/>
      <c r="F31" s="63"/>
      <c r="G31" s="63"/>
      <c r="H31" s="63"/>
      <c r="I31" s="8"/>
      <c r="J31" s="63"/>
      <c r="K31" s="63"/>
      <c r="L31" s="63"/>
      <c r="M31" s="63"/>
      <c r="N31" s="63"/>
      <c r="O31" s="63"/>
      <c r="P31" s="63"/>
    </row>
    <row r="32" spans="1:17" ht="13.4" customHeight="1">
      <c r="A32" s="7" t="s">
        <v>20</v>
      </c>
      <c r="B32" s="403">
        <f>ROUND(B30,3)</f>
        <v>1.913</v>
      </c>
      <c r="C32" s="403">
        <f>ROUND(C29,3)</f>
        <v>1.2410000000000001</v>
      </c>
      <c r="D32" s="403">
        <f>ROUND(D28,3)</f>
        <v>1.101</v>
      </c>
      <c r="E32" s="403">
        <f>ROUND(E27,3)</f>
        <v>1.0449999999999999</v>
      </c>
      <c r="F32" s="403">
        <f>ROUND(F26,3)</f>
        <v>1.0289999999999999</v>
      </c>
      <c r="G32" s="403">
        <f>ROUND(G25,3)</f>
        <v>1.0169999999999999</v>
      </c>
      <c r="H32" s="403">
        <f>ROUND(H24,3)</f>
        <v>1.0089999999999999</v>
      </c>
      <c r="I32" s="403">
        <f>ROUND(I23,3)</f>
        <v>1.006</v>
      </c>
      <c r="J32" s="403">
        <f>AVERAGE(J17:J22)</f>
        <v>1.0085</v>
      </c>
      <c r="K32" s="403">
        <f>AVERAGE(K16:K21)</f>
        <v>1.0068333333333332</v>
      </c>
      <c r="L32" s="403">
        <f>AVERAGE(L15:L20)</f>
        <v>1.0051666666666665</v>
      </c>
      <c r="M32" s="403">
        <f>AVERAGE(M14:M19)</f>
        <v>1.0065</v>
      </c>
      <c r="N32" s="403">
        <f>AVERAGE(N13:N18)</f>
        <v>1.0031666666666665</v>
      </c>
      <c r="O32" s="403">
        <f>AVERAGE(O12:O17)</f>
        <v>1.0029999999999999</v>
      </c>
      <c r="P32" s="403">
        <f>AVERAGE(P11:P16)</f>
        <v>1.0031666666666668</v>
      </c>
      <c r="Q32" s="403">
        <f>AVERAGE(Q10:Q15)</f>
        <v>1.0021666666666667</v>
      </c>
    </row>
    <row r="33" spans="1:17" ht="13.4" customHeight="1">
      <c r="A33" s="7" t="s">
        <v>21</v>
      </c>
      <c r="B33" s="403">
        <f t="shared" ref="B33:O33" si="1">C33*B32</f>
        <v>3.0589472872057906</v>
      </c>
      <c r="C33" s="403">
        <f t="shared" si="1"/>
        <v>1.5990315144829015</v>
      </c>
      <c r="D33" s="403">
        <f t="shared" si="1"/>
        <v>1.2885024290756659</v>
      </c>
      <c r="E33" s="403">
        <f t="shared" si="1"/>
        <v>1.1703019337653642</v>
      </c>
      <c r="F33" s="403">
        <f t="shared" si="1"/>
        <v>1.1199061567132673</v>
      </c>
      <c r="G33" s="403">
        <f t="shared" si="1"/>
        <v>1.0883441756202794</v>
      </c>
      <c r="H33" s="403">
        <f t="shared" si="1"/>
        <v>1.0701515984466858</v>
      </c>
      <c r="I33" s="403">
        <f t="shared" si="1"/>
        <v>1.0606061431582616</v>
      </c>
      <c r="J33" s="403">
        <f t="shared" si="1"/>
        <v>1.0542804603958864</v>
      </c>
      <c r="K33" s="403">
        <f t="shared" si="1"/>
        <v>1.0453946062428225</v>
      </c>
      <c r="L33" s="403">
        <f t="shared" si="1"/>
        <v>1.0382995592545829</v>
      </c>
      <c r="M33" s="403">
        <f t="shared" si="1"/>
        <v>1.03296258589413</v>
      </c>
      <c r="N33" s="403">
        <f t="shared" si="1"/>
        <v>1.026291689909717</v>
      </c>
      <c r="O33" s="403">
        <f t="shared" si="1"/>
        <v>1.0230520251633664</v>
      </c>
      <c r="P33" s="403">
        <f>Q33*P32</f>
        <v>1.0199920490163175</v>
      </c>
      <c r="Q33" s="403">
        <f>'Exhibit 2.1.2'!B31*Q32</f>
        <v>1.0167722701608082</v>
      </c>
    </row>
    <row r="34" spans="1:17" ht="13.4" customHeight="1">
      <c r="A34" s="63"/>
      <c r="B34" s="63"/>
      <c r="C34" s="63"/>
      <c r="D34" s="63"/>
      <c r="E34" s="63"/>
      <c r="F34" s="63"/>
      <c r="G34" s="63"/>
      <c r="H34" s="63"/>
      <c r="I34" s="63"/>
      <c r="J34" s="63"/>
      <c r="K34" s="63"/>
      <c r="L34" s="63"/>
      <c r="M34" s="63"/>
      <c r="N34" s="63"/>
      <c r="O34" s="63"/>
      <c r="P34" s="63"/>
    </row>
    <row r="35" spans="1:17" ht="13.4" customHeight="1">
      <c r="A35" s="5" t="s">
        <v>22</v>
      </c>
      <c r="B35" s="77" t="s">
        <v>481</v>
      </c>
      <c r="C35" s="73"/>
      <c r="D35" s="73"/>
      <c r="E35" s="73"/>
      <c r="F35" s="73"/>
      <c r="G35" s="73"/>
      <c r="H35" s="73"/>
      <c r="I35" s="73"/>
      <c r="J35" s="73"/>
      <c r="K35" s="73"/>
      <c r="L35" s="73"/>
      <c r="M35" s="73"/>
      <c r="N35" s="73"/>
      <c r="O35" s="73"/>
      <c r="P35" s="73"/>
    </row>
  </sheetData>
  <sheetProtection selectLockedCells="1" selectUnlockedCells="1"/>
  <printOptions horizontalCentered="1"/>
  <pageMargins left="0.7" right="0.7" top="0.75" bottom="0.75" header="0.3" footer="0.3"/>
  <pageSetup scale="88" orientation="landscape" blackAndWhite="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N53"/>
  <sheetViews>
    <sheetView zoomScaleNormal="100" zoomScaleSheetLayoutView="100" workbookViewId="0"/>
  </sheetViews>
  <sheetFormatPr defaultColWidth="9.1796875" defaultRowHeight="12.5"/>
  <cols>
    <col min="1" max="1" width="9.1796875" style="89"/>
    <col min="2" max="2" width="15.1796875" style="36" bestFit="1" customWidth="1"/>
    <col min="3" max="3" width="2.81640625" style="36" customWidth="1"/>
    <col min="4" max="4" width="15.1796875" style="36" bestFit="1" customWidth="1"/>
    <col min="5" max="5" width="3.1796875" style="36" customWidth="1"/>
    <col min="6" max="6" width="7.81640625" style="36" customWidth="1"/>
    <col min="7" max="7" width="13.81640625" style="36" customWidth="1"/>
    <col min="8" max="8" width="7.453125" style="36" customWidth="1"/>
    <col min="9" max="9" width="13.81640625" style="36" customWidth="1"/>
    <col min="10" max="10" width="7.81640625" style="36" customWidth="1"/>
    <col min="11" max="11" width="6.1796875" style="89" customWidth="1"/>
    <col min="12" max="12" width="12.81640625" style="89" customWidth="1"/>
    <col min="13" max="13" width="9.1796875" style="89" customWidth="1"/>
    <col min="14" max="16384" width="9.1796875" style="89"/>
  </cols>
  <sheetData>
    <row r="1" spans="1:14" ht="13">
      <c r="A1" s="122" t="s">
        <v>79</v>
      </c>
      <c r="B1" s="30"/>
      <c r="C1" s="30"/>
      <c r="D1" s="30"/>
      <c r="E1" s="30"/>
      <c r="F1" s="30"/>
      <c r="G1" s="30"/>
      <c r="H1" s="30"/>
      <c r="I1" s="30"/>
      <c r="J1" s="30"/>
      <c r="K1" s="30"/>
      <c r="L1" s="30"/>
      <c r="M1" s="30"/>
      <c r="N1" s="341"/>
    </row>
    <row r="2" spans="1:14" ht="22.4" customHeight="1">
      <c r="A2" s="341"/>
      <c r="B2" s="341"/>
      <c r="C2" s="341"/>
      <c r="D2" s="341"/>
      <c r="E2" s="341"/>
      <c r="F2" s="341"/>
      <c r="G2" s="341"/>
      <c r="H2" s="341"/>
      <c r="I2" s="341"/>
      <c r="J2" s="341"/>
      <c r="K2" s="341"/>
      <c r="L2" s="341"/>
      <c r="M2" s="341"/>
      <c r="N2" s="341"/>
    </row>
    <row r="3" spans="1:14">
      <c r="A3" s="341"/>
      <c r="B3" s="32" t="s">
        <v>45</v>
      </c>
      <c r="C3" s="32"/>
      <c r="D3" s="32" t="s">
        <v>46</v>
      </c>
      <c r="E3" s="32"/>
      <c r="F3" s="32" t="s">
        <v>47</v>
      </c>
      <c r="G3" s="341"/>
      <c r="H3" s="32" t="s">
        <v>48</v>
      </c>
      <c r="I3" s="341"/>
      <c r="J3" s="32" t="s">
        <v>50</v>
      </c>
      <c r="K3" s="341"/>
      <c r="L3" s="32" t="s">
        <v>51</v>
      </c>
      <c r="M3" s="341"/>
      <c r="N3" s="341"/>
    </row>
    <row r="4" spans="1:14">
      <c r="A4" s="341"/>
      <c r="B4" s="31" t="s">
        <v>80</v>
      </c>
      <c r="C4" s="31"/>
      <c r="D4" s="31" t="s">
        <v>80</v>
      </c>
      <c r="E4" s="31"/>
      <c r="F4" s="31" t="s">
        <v>81</v>
      </c>
      <c r="G4" s="31"/>
      <c r="H4" s="31"/>
      <c r="I4" s="341"/>
      <c r="J4" s="31" t="s">
        <v>81</v>
      </c>
      <c r="K4" s="341"/>
      <c r="L4" s="31" t="s">
        <v>63</v>
      </c>
      <c r="M4" s="341"/>
      <c r="N4" s="341"/>
    </row>
    <row r="5" spans="1:14">
      <c r="A5" s="341"/>
      <c r="B5" s="31" t="s">
        <v>5</v>
      </c>
      <c r="C5" s="31"/>
      <c r="D5" s="31" t="s">
        <v>84</v>
      </c>
      <c r="E5" s="31"/>
      <c r="F5" s="31" t="s">
        <v>85</v>
      </c>
      <c r="G5" s="31"/>
      <c r="H5" s="31" t="s">
        <v>86</v>
      </c>
      <c r="I5" s="341"/>
      <c r="J5" s="31" t="s">
        <v>87</v>
      </c>
      <c r="K5" s="341"/>
      <c r="L5" s="31" t="s">
        <v>88</v>
      </c>
      <c r="M5" s="341"/>
      <c r="N5" s="341"/>
    </row>
    <row r="6" spans="1:14">
      <c r="A6" s="41" t="s">
        <v>54</v>
      </c>
      <c r="B6" s="31" t="s">
        <v>89</v>
      </c>
      <c r="C6" s="31"/>
      <c r="D6" s="31" t="s">
        <v>89</v>
      </c>
      <c r="E6" s="31"/>
      <c r="F6" s="31" t="s">
        <v>90</v>
      </c>
      <c r="G6" s="31"/>
      <c r="H6" s="31" t="s">
        <v>5</v>
      </c>
      <c r="I6" s="341"/>
      <c r="J6" s="31" t="s">
        <v>91</v>
      </c>
      <c r="K6" s="341"/>
      <c r="L6" s="31" t="s">
        <v>92</v>
      </c>
      <c r="M6" s="341"/>
      <c r="N6" s="341"/>
    </row>
    <row r="7" spans="1:14" ht="14.9" customHeight="1">
      <c r="A7" s="33" t="s">
        <v>8</v>
      </c>
      <c r="B7" s="33" t="s">
        <v>93</v>
      </c>
      <c r="C7" s="33"/>
      <c r="D7" s="33" t="s">
        <v>93</v>
      </c>
      <c r="E7" s="31"/>
      <c r="F7" s="33" t="s">
        <v>94</v>
      </c>
      <c r="G7" s="31"/>
      <c r="H7" s="33" t="s">
        <v>95</v>
      </c>
      <c r="I7" s="341"/>
      <c r="J7" s="33" t="s">
        <v>96</v>
      </c>
      <c r="K7" s="341"/>
      <c r="L7" s="33" t="s">
        <v>97</v>
      </c>
      <c r="M7" s="341"/>
      <c r="N7" s="341"/>
    </row>
    <row r="8" spans="1:14" ht="14.9" customHeight="1">
      <c r="A8" s="31">
        <f>+'Exhibit 4.1'!B9</f>
        <v>1987</v>
      </c>
      <c r="B8" s="445">
        <v>0.61</v>
      </c>
      <c r="C8" s="23"/>
      <c r="D8" s="23">
        <f t="shared" ref="D8:D41" si="0">1-B8</f>
        <v>0.39</v>
      </c>
      <c r="E8" s="31"/>
      <c r="F8" s="499">
        <v>8.9999999999999993E-3</v>
      </c>
      <c r="G8" s="445"/>
      <c r="H8" s="499">
        <v>7.3999999999999996E-2</v>
      </c>
      <c r="I8" s="445"/>
      <c r="J8" s="499">
        <v>2.8999999999999915E-2</v>
      </c>
      <c r="K8" s="31"/>
      <c r="L8" s="462">
        <f t="shared" ref="L8:L33" si="1">F8+J8</f>
        <v>3.7999999999999916E-2</v>
      </c>
      <c r="M8" s="341"/>
      <c r="N8" s="341"/>
    </row>
    <row r="9" spans="1:14" ht="14.9" customHeight="1">
      <c r="A9" s="31">
        <f>+'Exhibit 4.1'!B10</f>
        <v>1988</v>
      </c>
      <c r="B9" s="445">
        <v>0.64900000000000002</v>
      </c>
      <c r="C9" s="23"/>
      <c r="D9" s="23">
        <f t="shared" si="0"/>
        <v>0.35099999999999998</v>
      </c>
      <c r="E9" s="31"/>
      <c r="F9" s="499">
        <v>8.0000000000000002E-3</v>
      </c>
      <c r="G9" s="445"/>
      <c r="H9" s="499">
        <v>7.6999999999999999E-2</v>
      </c>
      <c r="I9" s="445"/>
      <c r="J9" s="462">
        <f>ROUND(B8*1+D8*(H9+1)-1,3)</f>
        <v>0.03</v>
      </c>
      <c r="K9" s="31"/>
      <c r="L9" s="462">
        <f t="shared" si="1"/>
        <v>3.7999999999999999E-2</v>
      </c>
      <c r="M9" s="341"/>
      <c r="N9" s="341"/>
    </row>
    <row r="10" spans="1:14" ht="14.9" customHeight="1">
      <c r="A10" s="31">
        <f>+'Exhibit 4.1'!B11</f>
        <v>1989</v>
      </c>
      <c r="B10" s="445">
        <v>0.64700000000000002</v>
      </c>
      <c r="C10" s="23"/>
      <c r="D10" s="23">
        <f t="shared" si="0"/>
        <v>0.35299999999999998</v>
      </c>
      <c r="E10" s="31"/>
      <c r="F10" s="499">
        <v>0</v>
      </c>
      <c r="G10" s="445"/>
      <c r="H10" s="499">
        <v>8.5999999999999993E-2</v>
      </c>
      <c r="I10" s="445"/>
      <c r="J10" s="462">
        <f t="shared" ref="J10:J14" si="2">ROUND(B9*1+D9*(H10+1)-1,3)</f>
        <v>0.03</v>
      </c>
      <c r="K10" s="31"/>
      <c r="L10" s="462">
        <f t="shared" si="1"/>
        <v>0.03</v>
      </c>
      <c r="M10" s="341"/>
      <c r="N10" s="341"/>
    </row>
    <row r="11" spans="1:14" ht="14.9" customHeight="1">
      <c r="A11" s="31">
        <f>+'Exhibit 4.1'!B12</f>
        <v>1990</v>
      </c>
      <c r="B11" s="445">
        <v>0.66100000000000003</v>
      </c>
      <c r="C11" s="23"/>
      <c r="D11" s="23">
        <f t="shared" si="0"/>
        <v>0.33899999999999997</v>
      </c>
      <c r="E11" s="31"/>
      <c r="F11" s="499">
        <v>0</v>
      </c>
      <c r="G11" s="445"/>
      <c r="H11" s="499">
        <v>0.104</v>
      </c>
      <c r="I11" s="445"/>
      <c r="J11" s="462">
        <f t="shared" si="2"/>
        <v>3.6999999999999998E-2</v>
      </c>
      <c r="K11" s="31"/>
      <c r="L11" s="462">
        <f t="shared" si="1"/>
        <v>3.6999999999999998E-2</v>
      </c>
      <c r="M11" s="341"/>
      <c r="N11" s="341"/>
    </row>
    <row r="12" spans="1:14" ht="14.9" customHeight="1">
      <c r="A12" s="31">
        <f>+'Exhibit 4.1'!B13</f>
        <v>1991</v>
      </c>
      <c r="B12" s="445">
        <v>0.63100000000000001</v>
      </c>
      <c r="C12" s="23"/>
      <c r="D12" s="23">
        <f t="shared" si="0"/>
        <v>0.36899999999999999</v>
      </c>
      <c r="E12" s="31"/>
      <c r="F12" s="499">
        <v>0</v>
      </c>
      <c r="G12" s="445"/>
      <c r="H12" s="499">
        <v>0.106</v>
      </c>
      <c r="I12" s="445"/>
      <c r="J12" s="462">
        <f t="shared" si="2"/>
        <v>3.5999999999999997E-2</v>
      </c>
      <c r="K12" s="31"/>
      <c r="L12" s="462">
        <f t="shared" si="1"/>
        <v>3.5999999999999997E-2</v>
      </c>
      <c r="M12" s="341"/>
      <c r="N12" s="341"/>
    </row>
    <row r="13" spans="1:14" ht="14.9" customHeight="1">
      <c r="A13" s="31">
        <f>+'Exhibit 4.1'!B14</f>
        <v>1992</v>
      </c>
      <c r="B13" s="445">
        <v>0.628</v>
      </c>
      <c r="C13" s="23"/>
      <c r="D13" s="23">
        <f t="shared" si="0"/>
        <v>0.372</v>
      </c>
      <c r="E13" s="31"/>
      <c r="F13" s="499">
        <v>0</v>
      </c>
      <c r="G13" s="445"/>
      <c r="H13" s="499">
        <v>8.1000000000000003E-2</v>
      </c>
      <c r="I13" s="445"/>
      <c r="J13" s="462">
        <f t="shared" si="2"/>
        <v>0.03</v>
      </c>
      <c r="K13" s="31"/>
      <c r="L13" s="462">
        <f t="shared" si="1"/>
        <v>0.03</v>
      </c>
      <c r="M13" s="341"/>
      <c r="N13" s="341"/>
    </row>
    <row r="14" spans="1:14" ht="14.9" customHeight="1">
      <c r="A14" s="31">
        <f>+'Exhibit 4.1'!B15</f>
        <v>1993</v>
      </c>
      <c r="B14" s="445">
        <v>0.56499999999999995</v>
      </c>
      <c r="C14" s="23"/>
      <c r="D14" s="23">
        <f t="shared" si="0"/>
        <v>0.43500000000000005</v>
      </c>
      <c r="E14" s="31"/>
      <c r="F14" s="499">
        <v>0</v>
      </c>
      <c r="G14" s="445"/>
      <c r="H14" s="499">
        <v>7.2999999999999995E-2</v>
      </c>
      <c r="I14" s="445"/>
      <c r="J14" s="462">
        <f t="shared" si="2"/>
        <v>2.7E-2</v>
      </c>
      <c r="K14" s="31"/>
      <c r="L14" s="462">
        <f t="shared" si="1"/>
        <v>2.7E-2</v>
      </c>
      <c r="M14" s="341"/>
      <c r="N14" s="341"/>
    </row>
    <row r="15" spans="1:14" ht="14.9" customHeight="1">
      <c r="A15" s="31">
        <f>+'Exhibit 4.1'!B16</f>
        <v>1994</v>
      </c>
      <c r="B15" s="445">
        <v>0.69100000000000006</v>
      </c>
      <c r="C15" s="23"/>
      <c r="D15" s="23">
        <f t="shared" si="0"/>
        <v>0.30899999999999994</v>
      </c>
      <c r="E15" s="31"/>
      <c r="F15" s="499">
        <v>-3.5999999999999997E-2</v>
      </c>
      <c r="G15" s="445"/>
      <c r="H15" s="499">
        <v>4.2999999999999997E-2</v>
      </c>
      <c r="I15" s="445"/>
      <c r="J15" s="462">
        <f>ROUND((B14+0.138)*1+(D14-0.138)*(H15+1)-1,3)</f>
        <v>1.2999999999999999E-2</v>
      </c>
      <c r="K15" s="123" t="s">
        <v>98</v>
      </c>
      <c r="L15" s="462">
        <f t="shared" si="1"/>
        <v>-2.3E-2</v>
      </c>
      <c r="M15" s="341"/>
      <c r="N15" s="341"/>
    </row>
    <row r="16" spans="1:14" ht="14.9" customHeight="1">
      <c r="A16" s="31">
        <f>+'Exhibit 4.1'!B17</f>
        <v>1995</v>
      </c>
      <c r="B16" s="445">
        <v>0.6811594202898551</v>
      </c>
      <c r="C16" s="23"/>
      <c r="D16" s="23">
        <f t="shared" si="0"/>
        <v>0.3188405797101449</v>
      </c>
      <c r="E16" s="31"/>
      <c r="F16" s="499">
        <v>0</v>
      </c>
      <c r="G16" s="445"/>
      <c r="H16" s="499">
        <v>0.03</v>
      </c>
      <c r="I16" s="445"/>
      <c r="J16" s="462">
        <f t="shared" ref="J16:J19" si="3">ROUND(B15*1+D15*(H16+1)-1,3)</f>
        <v>8.9999999999999993E-3</v>
      </c>
      <c r="K16" s="31"/>
      <c r="L16" s="462">
        <f t="shared" si="1"/>
        <v>8.9999999999999993E-3</v>
      </c>
      <c r="M16" s="341"/>
      <c r="N16" s="341"/>
    </row>
    <row r="17" spans="1:14" ht="14.9" customHeight="1">
      <c r="A17" s="31">
        <f>+'Exhibit 4.1'!B18</f>
        <v>1996</v>
      </c>
      <c r="B17" s="445">
        <v>0.66277712952158685</v>
      </c>
      <c r="C17" s="23"/>
      <c r="D17" s="23">
        <f t="shared" si="0"/>
        <v>0.33722287047841315</v>
      </c>
      <c r="E17" s="31"/>
      <c r="F17" s="499">
        <v>0</v>
      </c>
      <c r="G17" s="445"/>
      <c r="H17" s="499">
        <v>0.03</v>
      </c>
      <c r="I17" s="445"/>
      <c r="J17" s="462">
        <f t="shared" si="3"/>
        <v>0.01</v>
      </c>
      <c r="K17" s="31"/>
      <c r="L17" s="462">
        <f t="shared" si="1"/>
        <v>0.01</v>
      </c>
      <c r="M17" s="341"/>
      <c r="N17" s="341"/>
    </row>
    <row r="18" spans="1:14" ht="14.9" customHeight="1">
      <c r="A18" s="31">
        <f>+'Exhibit 4.1'!B19</f>
        <v>1997</v>
      </c>
      <c r="B18" s="445">
        <v>0.64316702819956606</v>
      </c>
      <c r="C18" s="23"/>
      <c r="D18" s="23">
        <f t="shared" si="0"/>
        <v>0.35683297180043394</v>
      </c>
      <c r="E18" s="31"/>
      <c r="F18" s="499">
        <v>0</v>
      </c>
      <c r="G18" s="445"/>
      <c r="H18" s="499">
        <v>2.1999999999999999E-2</v>
      </c>
      <c r="I18" s="445"/>
      <c r="J18" s="462">
        <f t="shared" si="3"/>
        <v>7.0000000000000001E-3</v>
      </c>
      <c r="K18" s="31"/>
      <c r="L18" s="462">
        <f t="shared" si="1"/>
        <v>7.0000000000000001E-3</v>
      </c>
      <c r="M18" s="341"/>
      <c r="N18" s="341"/>
    </row>
    <row r="19" spans="1:14" ht="14.9" customHeight="1">
      <c r="A19" s="31">
        <f>+'Exhibit 4.1'!B20</f>
        <v>1998</v>
      </c>
      <c r="B19" s="445">
        <v>0.65840517241379293</v>
      </c>
      <c r="C19" s="23"/>
      <c r="D19" s="23">
        <f t="shared" si="0"/>
        <v>0.34159482758620707</v>
      </c>
      <c r="E19" s="31"/>
      <c r="F19" s="499">
        <v>0</v>
      </c>
      <c r="G19" s="445"/>
      <c r="H19" s="499">
        <v>2.1999999999999999E-2</v>
      </c>
      <c r="I19" s="445"/>
      <c r="J19" s="462">
        <f t="shared" si="3"/>
        <v>8.0000000000000002E-3</v>
      </c>
      <c r="K19" s="31"/>
      <c r="L19" s="462">
        <f t="shared" si="1"/>
        <v>8.0000000000000002E-3</v>
      </c>
      <c r="M19" s="341"/>
      <c r="N19" s="341"/>
    </row>
    <row r="20" spans="1:14" ht="14.9" customHeight="1">
      <c r="A20" s="31">
        <f>+'Exhibit 4.1'!B21</f>
        <v>1999</v>
      </c>
      <c r="B20" s="445">
        <v>0.7276922257720978</v>
      </c>
      <c r="C20" s="23"/>
      <c r="D20" s="23">
        <f t="shared" si="0"/>
        <v>0.2723077742279022</v>
      </c>
      <c r="E20" s="31"/>
      <c r="F20" s="499">
        <v>1.6E-2</v>
      </c>
      <c r="G20" s="445"/>
      <c r="H20" s="499">
        <v>3.3000000000000002E-2</v>
      </c>
      <c r="I20" s="445"/>
      <c r="J20" s="462">
        <f>ROUND((B19+0.077)*1+(D19-0.077)*(H20+1)-1,3)</f>
        <v>8.9999999999999993E-3</v>
      </c>
      <c r="K20" s="123" t="s">
        <v>99</v>
      </c>
      <c r="L20" s="462">
        <f t="shared" si="1"/>
        <v>2.5000000000000001E-2</v>
      </c>
      <c r="M20" s="341"/>
      <c r="N20" s="341"/>
    </row>
    <row r="21" spans="1:14" ht="14.9" customHeight="1">
      <c r="A21" s="31">
        <f>+'Exhibit 4.1'!B22</f>
        <v>2000</v>
      </c>
      <c r="B21" s="445">
        <v>0.71538812301166488</v>
      </c>
      <c r="C21" s="23"/>
      <c r="D21" s="23">
        <f t="shared" si="0"/>
        <v>0.28461187698833512</v>
      </c>
      <c r="E21" s="31"/>
      <c r="F21" s="499">
        <v>5.0000000000000001E-3</v>
      </c>
      <c r="G21" s="445"/>
      <c r="H21" s="499">
        <v>4.2999999999999997E-2</v>
      </c>
      <c r="I21" s="445"/>
      <c r="J21" s="462">
        <f t="shared" ref="J21:J46" si="4">ROUND(B20*1+D20*(H21+1)-1,3)</f>
        <v>1.2E-2</v>
      </c>
      <c r="K21" s="123"/>
      <c r="L21" s="462">
        <f t="shared" si="1"/>
        <v>1.7000000000000001E-2</v>
      </c>
      <c r="M21" s="341"/>
      <c r="N21" s="341"/>
    </row>
    <row r="22" spans="1:14" ht="14.9" customHeight="1">
      <c r="A22" s="31">
        <f>+'Exhibit 4.1'!B23</f>
        <v>2001</v>
      </c>
      <c r="B22" s="445">
        <v>0.7223189655172414</v>
      </c>
      <c r="C22" s="23"/>
      <c r="D22" s="23">
        <f t="shared" si="0"/>
        <v>0.2776810344827586</v>
      </c>
      <c r="E22" s="31"/>
      <c r="F22" s="499">
        <v>1.4999999999999999E-2</v>
      </c>
      <c r="G22" s="445"/>
      <c r="H22" s="499">
        <v>4.8000000000000001E-2</v>
      </c>
      <c r="I22" s="445"/>
      <c r="J22" s="462">
        <f t="shared" si="4"/>
        <v>1.4E-2</v>
      </c>
      <c r="K22" s="123"/>
      <c r="L22" s="462">
        <f t="shared" si="1"/>
        <v>2.8999999999999998E-2</v>
      </c>
      <c r="M22" s="341"/>
      <c r="N22" s="341"/>
    </row>
    <row r="23" spans="1:14" ht="14.9" customHeight="1">
      <c r="A23" s="31">
        <f>+'Exhibit 4.1'!B24</f>
        <v>2002</v>
      </c>
      <c r="B23" s="445">
        <v>0.63467338282078467</v>
      </c>
      <c r="C23" s="23"/>
      <c r="D23" s="23">
        <f t="shared" si="0"/>
        <v>0.36532661717921533</v>
      </c>
      <c r="E23" s="31"/>
      <c r="F23" s="499">
        <v>6.0000000000000001E-3</v>
      </c>
      <c r="G23" s="445"/>
      <c r="H23" s="499">
        <v>5.0999999999999997E-2</v>
      </c>
      <c r="I23" s="445"/>
      <c r="J23" s="462">
        <f t="shared" si="4"/>
        <v>1.4E-2</v>
      </c>
      <c r="K23" s="123"/>
      <c r="L23" s="462">
        <f t="shared" si="1"/>
        <v>0.02</v>
      </c>
      <c r="M23" s="341"/>
      <c r="N23" s="341"/>
    </row>
    <row r="24" spans="1:14" ht="14.9" customHeight="1">
      <c r="A24" s="31">
        <f>+'Exhibit 4.1'!B25</f>
        <v>2003</v>
      </c>
      <c r="B24" s="445">
        <v>0.78608515057113193</v>
      </c>
      <c r="C24" s="23"/>
      <c r="D24" s="23">
        <f t="shared" si="0"/>
        <v>0.21391484942886807</v>
      </c>
      <c r="E24" s="31"/>
      <c r="F24" s="499">
        <v>0</v>
      </c>
      <c r="G24" s="445"/>
      <c r="H24" s="499">
        <v>4.8000000000000001E-2</v>
      </c>
      <c r="I24" s="445"/>
      <c r="J24" s="462">
        <f>ROUND((B23+0.076)*1+(D23-0.076)*(H24+1)-1,3)</f>
        <v>1.4E-2</v>
      </c>
      <c r="K24" s="123" t="s">
        <v>100</v>
      </c>
      <c r="L24" s="462">
        <f t="shared" si="1"/>
        <v>1.4E-2</v>
      </c>
      <c r="M24" s="341"/>
      <c r="N24" s="341"/>
    </row>
    <row r="25" spans="1:14" ht="14.9" customHeight="1">
      <c r="A25" s="31">
        <f>+'Exhibit 4.1'!B26</f>
        <v>2004</v>
      </c>
      <c r="B25" s="445">
        <v>0.95247933884297509</v>
      </c>
      <c r="C25" s="23"/>
      <c r="D25" s="23">
        <f t="shared" si="0"/>
        <v>4.7520661157024913E-2</v>
      </c>
      <c r="E25" s="31"/>
      <c r="F25" s="499">
        <v>0</v>
      </c>
      <c r="G25" s="445"/>
      <c r="H25" s="499">
        <v>0.05</v>
      </c>
      <c r="I25" s="445"/>
      <c r="J25" s="462">
        <f>ROUND((B24+0.172)*1+(D24-0.172)*(0+1)-1,3)</f>
        <v>0</v>
      </c>
      <c r="K25" s="123" t="s">
        <v>101</v>
      </c>
      <c r="L25" s="462">
        <f t="shared" si="1"/>
        <v>0</v>
      </c>
      <c r="M25" s="341"/>
      <c r="N25" s="341"/>
    </row>
    <row r="26" spans="1:14" ht="14.9" customHeight="1">
      <c r="A26" s="31">
        <f>+'Exhibit 4.1'!B27</f>
        <v>2005</v>
      </c>
      <c r="B26" s="445">
        <v>0.9362186788154897</v>
      </c>
      <c r="C26" s="23"/>
      <c r="D26" s="23">
        <f t="shared" si="0"/>
        <v>6.3781321184510298E-2</v>
      </c>
      <c r="E26" s="31"/>
      <c r="F26" s="499">
        <v>0</v>
      </c>
      <c r="G26" s="445"/>
      <c r="H26" s="499">
        <v>4.8000000000000001E-2</v>
      </c>
      <c r="I26" s="445"/>
      <c r="J26" s="462">
        <f>ROUND(B25*1+D25*(0+1)-1,3)</f>
        <v>0</v>
      </c>
      <c r="K26" s="123" t="s">
        <v>102</v>
      </c>
      <c r="L26" s="462">
        <f t="shared" si="1"/>
        <v>0</v>
      </c>
      <c r="M26" s="341"/>
      <c r="N26" s="341"/>
    </row>
    <row r="27" spans="1:14" ht="14.9" customHeight="1">
      <c r="A27" s="31">
        <f>+'Exhibit 4.1'!B28</f>
        <v>2006</v>
      </c>
      <c r="B27" s="445">
        <v>0.92574850299401201</v>
      </c>
      <c r="C27" s="23"/>
      <c r="D27" s="23">
        <f t="shared" si="0"/>
        <v>7.4251497005987988E-2</v>
      </c>
      <c r="E27" s="31"/>
      <c r="F27" s="499">
        <v>0</v>
      </c>
      <c r="G27" s="445"/>
      <c r="H27" s="499">
        <v>4.1000000000000002E-2</v>
      </c>
      <c r="I27" s="445"/>
      <c r="J27" s="462">
        <f t="shared" si="4"/>
        <v>3.0000000000000001E-3</v>
      </c>
      <c r="K27" s="31"/>
      <c r="L27" s="462">
        <f t="shared" si="1"/>
        <v>3.0000000000000001E-3</v>
      </c>
      <c r="M27" s="341"/>
      <c r="N27" s="341"/>
    </row>
    <row r="28" spans="1:14" ht="14.9" customHeight="1">
      <c r="A28" s="31">
        <f>+'Exhibit 4.1'!B29</f>
        <v>2007</v>
      </c>
      <c r="B28" s="445">
        <v>0.9226260257913248</v>
      </c>
      <c r="C28" s="23"/>
      <c r="D28" s="23">
        <f t="shared" si="0"/>
        <v>7.73739742086752E-2</v>
      </c>
      <c r="E28" s="31"/>
      <c r="F28" s="499">
        <v>1.4E-2</v>
      </c>
      <c r="G28" s="445"/>
      <c r="H28" s="499">
        <v>5.2999999999999999E-2</v>
      </c>
      <c r="I28" s="445"/>
      <c r="J28" s="462">
        <f t="shared" si="4"/>
        <v>4.0000000000000001E-3</v>
      </c>
      <c r="K28" s="31"/>
      <c r="L28" s="462">
        <f t="shared" si="1"/>
        <v>1.8000000000000002E-2</v>
      </c>
      <c r="M28" s="341"/>
      <c r="N28" s="341"/>
    </row>
    <row r="29" spans="1:14" ht="14.9" customHeight="1">
      <c r="A29" s="31">
        <f>+'Exhibit 4.1'!B30</f>
        <v>2008</v>
      </c>
      <c r="B29" s="445">
        <v>0.8956109134045076</v>
      </c>
      <c r="C29" s="23"/>
      <c r="D29" s="23">
        <f t="shared" si="0"/>
        <v>0.1043890865954924</v>
      </c>
      <c r="E29" s="31"/>
      <c r="F29" s="499">
        <v>-1E-3</v>
      </c>
      <c r="G29" s="445"/>
      <c r="H29" s="499">
        <v>4.2000000000000003E-2</v>
      </c>
      <c r="I29" s="445"/>
      <c r="J29" s="462">
        <f t="shared" si="4"/>
        <v>3.0000000000000001E-3</v>
      </c>
      <c r="K29" s="31"/>
      <c r="L29" s="462">
        <f t="shared" si="1"/>
        <v>2E-3</v>
      </c>
      <c r="M29" s="341"/>
      <c r="N29" s="341"/>
    </row>
    <row r="30" spans="1:14" ht="14.9" customHeight="1">
      <c r="A30" s="31">
        <f>+'Exhibit 4.1'!B31</f>
        <v>2009</v>
      </c>
      <c r="B30" s="445">
        <v>0.89419354838709675</v>
      </c>
      <c r="C30" s="23"/>
      <c r="D30" s="23">
        <f t="shared" si="0"/>
        <v>0.10580645161290325</v>
      </c>
      <c r="E30" s="31"/>
      <c r="F30" s="499">
        <v>0</v>
      </c>
      <c r="G30" s="445"/>
      <c r="H30" s="499">
        <v>3.5999999999999997E-2</v>
      </c>
      <c r="I30" s="445"/>
      <c r="J30" s="462">
        <f t="shared" si="4"/>
        <v>4.0000000000000001E-3</v>
      </c>
      <c r="K30" s="31"/>
      <c r="L30" s="462">
        <f t="shared" si="1"/>
        <v>4.0000000000000001E-3</v>
      </c>
      <c r="M30" s="341"/>
      <c r="N30" s="341"/>
    </row>
    <row r="31" spans="1:14" ht="14.9" customHeight="1">
      <c r="A31" s="31">
        <f>+'Exhibit 4.1'!B32</f>
        <v>2010</v>
      </c>
      <c r="B31" s="445">
        <v>0.89487179487179502</v>
      </c>
      <c r="C31" s="23"/>
      <c r="D31" s="23">
        <f t="shared" si="0"/>
        <v>0.10512820512820498</v>
      </c>
      <c r="E31" s="31"/>
      <c r="F31" s="499">
        <v>0</v>
      </c>
      <c r="G31" s="445"/>
      <c r="H31" s="499">
        <v>2.8000000000000001E-2</v>
      </c>
      <c r="I31" s="445"/>
      <c r="J31" s="462">
        <f t="shared" si="4"/>
        <v>3.0000000000000001E-3</v>
      </c>
      <c r="K31" s="31"/>
      <c r="L31" s="462">
        <f t="shared" si="1"/>
        <v>3.0000000000000001E-3</v>
      </c>
      <c r="M31" s="341"/>
      <c r="N31" s="341"/>
    </row>
    <row r="32" spans="1:14" ht="14.9" customHeight="1">
      <c r="A32" s="31">
        <f>+'Exhibit 4.1'!B33</f>
        <v>2011</v>
      </c>
      <c r="B32" s="445">
        <v>0.96938775510204089</v>
      </c>
      <c r="C32" s="23"/>
      <c r="D32" s="23">
        <f t="shared" si="0"/>
        <v>3.0612244897959107E-2</v>
      </c>
      <c r="E32" s="31"/>
      <c r="F32" s="499">
        <v>0</v>
      </c>
      <c r="G32" s="445"/>
      <c r="H32" s="499">
        <v>3.2000000000000001E-2</v>
      </c>
      <c r="I32" s="445"/>
      <c r="J32" s="462">
        <f t="shared" si="4"/>
        <v>3.0000000000000001E-3</v>
      </c>
      <c r="K32" s="31"/>
      <c r="L32" s="462">
        <f t="shared" si="1"/>
        <v>3.0000000000000001E-3</v>
      </c>
      <c r="M32" s="341"/>
      <c r="N32" s="341"/>
    </row>
    <row r="33" spans="1:14" ht="14.9" customHeight="1">
      <c r="A33" s="31">
        <f>+'Exhibit 4.1'!B34</f>
        <v>2012</v>
      </c>
      <c r="B33" s="445">
        <v>0.96938775510204089</v>
      </c>
      <c r="C33" s="23"/>
      <c r="D33" s="23">
        <f t="shared" si="0"/>
        <v>3.0612244897959107E-2</v>
      </c>
      <c r="E33" s="31"/>
      <c r="F33" s="499">
        <v>0</v>
      </c>
      <c r="G33" s="445"/>
      <c r="H33" s="499">
        <v>2.7E-2</v>
      </c>
      <c r="I33" s="445"/>
      <c r="J33" s="462">
        <f t="shared" si="4"/>
        <v>1E-3</v>
      </c>
      <c r="K33" s="31"/>
      <c r="L33" s="462">
        <f t="shared" si="1"/>
        <v>1E-3</v>
      </c>
      <c r="M33" s="341"/>
      <c r="N33" s="341"/>
    </row>
    <row r="34" spans="1:14" ht="14.9" customHeight="1">
      <c r="A34" s="31">
        <f>+'Exhibit 4.1'!B35</f>
        <v>2013</v>
      </c>
      <c r="B34" s="445">
        <v>0.93799999999999994</v>
      </c>
      <c r="C34" s="23"/>
      <c r="D34" s="23">
        <f t="shared" si="0"/>
        <v>6.2000000000000055E-2</v>
      </c>
      <c r="E34" s="31"/>
      <c r="F34" s="499">
        <v>0</v>
      </c>
      <c r="G34" s="445"/>
      <c r="H34" s="499">
        <v>2.5999999999999999E-2</v>
      </c>
      <c r="I34" s="445"/>
      <c r="J34" s="462">
        <f t="shared" si="4"/>
        <v>1E-3</v>
      </c>
      <c r="K34" s="31"/>
      <c r="L34" s="463">
        <f>F42+$J$34</f>
        <v>4.9399999999999999E-2</v>
      </c>
      <c r="M34" s="351" t="s">
        <v>76</v>
      </c>
      <c r="N34" s="341"/>
    </row>
    <row r="35" spans="1:14" ht="14.9" customHeight="1">
      <c r="A35" s="31">
        <f>+'Exhibit 4.1'!B36</f>
        <v>2014</v>
      </c>
      <c r="B35" s="445">
        <v>0.92800000000000005</v>
      </c>
      <c r="C35" s="23"/>
      <c r="D35" s="23">
        <f t="shared" si="0"/>
        <v>7.1999999999999953E-2</v>
      </c>
      <c r="E35" s="31"/>
      <c r="F35" s="499">
        <v>0</v>
      </c>
      <c r="G35" s="445"/>
      <c r="H35" s="499">
        <v>4.2000000000000003E-2</v>
      </c>
      <c r="I35" s="445"/>
      <c r="J35" s="462">
        <f t="shared" si="4"/>
        <v>3.0000000000000001E-3</v>
      </c>
      <c r="K35" s="31"/>
      <c r="L35" s="462">
        <f t="shared" ref="L35:L37" si="5">F35+J35</f>
        <v>3.0000000000000001E-3</v>
      </c>
      <c r="M35" s="341"/>
      <c r="N35" s="341"/>
    </row>
    <row r="36" spans="1:14" ht="14.9" customHeight="1">
      <c r="A36" s="31">
        <f>+'Exhibit 4.1'!B37</f>
        <v>2015</v>
      </c>
      <c r="B36" s="445">
        <v>0.93300000000000005</v>
      </c>
      <c r="C36" s="23"/>
      <c r="D36" s="23">
        <f t="shared" si="0"/>
        <v>6.6999999999999948E-2</v>
      </c>
      <c r="E36" s="31"/>
      <c r="F36" s="499">
        <v>0</v>
      </c>
      <c r="G36" s="445"/>
      <c r="H36" s="499">
        <v>3.1E-2</v>
      </c>
      <c r="I36" s="445"/>
      <c r="J36" s="462">
        <f t="shared" si="4"/>
        <v>2E-3</v>
      </c>
      <c r="K36" s="157"/>
      <c r="L36" s="462">
        <f t="shared" si="5"/>
        <v>2E-3</v>
      </c>
      <c r="M36" s="341"/>
      <c r="N36" s="341"/>
    </row>
    <row r="37" spans="1:14" ht="14.9" customHeight="1">
      <c r="A37" s="31">
        <f>+'Exhibit 4.1'!B38</f>
        <v>2016</v>
      </c>
      <c r="B37" s="445">
        <v>0.91800000000000004</v>
      </c>
      <c r="C37" s="23"/>
      <c r="D37" s="23">
        <f t="shared" si="0"/>
        <v>8.1999999999999962E-2</v>
      </c>
      <c r="E37" s="31"/>
      <c r="F37" s="499">
        <v>0</v>
      </c>
      <c r="G37" s="445"/>
      <c r="H37" s="499">
        <v>5.3999999999999999E-2</v>
      </c>
      <c r="I37" s="445"/>
      <c r="J37" s="462">
        <f t="shared" si="4"/>
        <v>4.0000000000000001E-3</v>
      </c>
      <c r="K37" s="157"/>
      <c r="L37" s="462">
        <f t="shared" si="5"/>
        <v>4.0000000000000001E-3</v>
      </c>
      <c r="M37" s="341"/>
      <c r="N37" s="341"/>
    </row>
    <row r="38" spans="1:14" ht="14.9" customHeight="1">
      <c r="A38" s="31">
        <f>+'Exhibit 4.1'!B39</f>
        <v>2017</v>
      </c>
      <c r="B38" s="445">
        <v>0.90600000000000003</v>
      </c>
      <c r="C38" s="23"/>
      <c r="D38" s="23">
        <f t="shared" si="0"/>
        <v>9.3999999999999972E-2</v>
      </c>
      <c r="E38" s="31"/>
      <c r="F38" s="499">
        <v>0</v>
      </c>
      <c r="G38" s="445"/>
      <c r="H38" s="499">
        <v>2.1999999999999999E-2</v>
      </c>
      <c r="I38" s="445"/>
      <c r="J38" s="462">
        <f t="shared" si="4"/>
        <v>2E-3</v>
      </c>
      <c r="K38" s="31"/>
      <c r="L38" s="462">
        <f>F38+J38</f>
        <v>2E-3</v>
      </c>
      <c r="M38" s="341"/>
      <c r="N38" s="341"/>
    </row>
    <row r="39" spans="1:14" ht="14.9" customHeight="1">
      <c r="A39" s="31">
        <f>+'Exhibit 4.1'!B40</f>
        <v>2018</v>
      </c>
      <c r="B39" s="445">
        <v>0.88700000000000001</v>
      </c>
      <c r="C39" s="23"/>
      <c r="D39" s="23">
        <f t="shared" si="0"/>
        <v>0.11299999999999999</v>
      </c>
      <c r="E39" s="31"/>
      <c r="F39" s="499">
        <v>0</v>
      </c>
      <c r="G39" s="445"/>
      <c r="H39" s="499">
        <v>2.5000000000000001E-2</v>
      </c>
      <c r="I39" s="445"/>
      <c r="J39" s="462">
        <f t="shared" si="4"/>
        <v>2E-3</v>
      </c>
      <c r="K39" s="31"/>
      <c r="L39" s="462">
        <f>F39+J39</f>
        <v>2E-3</v>
      </c>
      <c r="M39" s="341"/>
      <c r="N39" s="341"/>
    </row>
    <row r="40" spans="1:14" s="229" customFormat="1" ht="14.9" customHeight="1">
      <c r="A40" s="31">
        <f>+'Exhibit 4.1'!B41</f>
        <v>2019</v>
      </c>
      <c r="B40" s="445">
        <v>0.87270000000000003</v>
      </c>
      <c r="C40" s="23"/>
      <c r="D40" s="23">
        <f t="shared" ref="D40" si="6">1-B40</f>
        <v>0.12729999999999997</v>
      </c>
      <c r="E40" s="31"/>
      <c r="F40" s="499">
        <v>0</v>
      </c>
      <c r="G40" s="445"/>
      <c r="H40" s="499">
        <v>3.7999999999999999E-2</v>
      </c>
      <c r="I40" s="445"/>
      <c r="J40" s="462">
        <f t="shared" si="4"/>
        <v>4.0000000000000001E-3</v>
      </c>
      <c r="K40" s="31"/>
      <c r="L40" s="462">
        <f>F40+J40</f>
        <v>4.0000000000000001E-3</v>
      </c>
      <c r="M40" s="341"/>
      <c r="N40" s="341"/>
    </row>
    <row r="41" spans="1:14" s="131" customFormat="1" ht="14.9" customHeight="1">
      <c r="A41" s="31">
        <f>+'Exhibit 4.1'!B42</f>
        <v>2020</v>
      </c>
      <c r="B41" s="445">
        <v>0.86560000000000004</v>
      </c>
      <c r="C41" s="23"/>
      <c r="D41" s="23">
        <f t="shared" si="0"/>
        <v>0.13439999999999996</v>
      </c>
      <c r="E41" s="31"/>
      <c r="F41" s="499">
        <v>0</v>
      </c>
      <c r="G41" s="445"/>
      <c r="H41" s="499">
        <v>0.03</v>
      </c>
      <c r="I41" s="445"/>
      <c r="J41" s="462">
        <f t="shared" si="4"/>
        <v>4.0000000000000001E-3</v>
      </c>
      <c r="K41" s="31"/>
      <c r="L41" s="462">
        <f t="shared" ref="L41" si="7">F41+J41</f>
        <v>4.0000000000000001E-3</v>
      </c>
      <c r="M41" s="341"/>
      <c r="N41" s="341"/>
    </row>
    <row r="42" spans="1:14" ht="14.9" customHeight="1">
      <c r="A42" s="31">
        <f>+'Exhibit 4.1'!B43</f>
        <v>2021</v>
      </c>
      <c r="B42" s="445">
        <v>0.86439999999999995</v>
      </c>
      <c r="C42" s="23"/>
      <c r="D42" s="23">
        <f t="shared" ref="D42:D44" si="8">1-B42</f>
        <v>0.13560000000000005</v>
      </c>
      <c r="E42" s="31"/>
      <c r="F42" s="499">
        <v>4.8399999999999999E-2</v>
      </c>
      <c r="G42" s="445"/>
      <c r="H42" s="499">
        <v>1.2E-2</v>
      </c>
      <c r="I42" s="445"/>
      <c r="J42" s="462">
        <f t="shared" si="4"/>
        <v>2E-3</v>
      </c>
      <c r="K42" s="31"/>
      <c r="L42" s="463">
        <f>J42</f>
        <v>2E-3</v>
      </c>
      <c r="M42" s="351" t="s">
        <v>76</v>
      </c>
      <c r="N42" s="341"/>
    </row>
    <row r="43" spans="1:14" s="229" customFormat="1" ht="14.9" customHeight="1">
      <c r="A43" s="31">
        <f>+'Exhibit 4.1'!B44</f>
        <v>2022</v>
      </c>
      <c r="B43" s="445">
        <v>0.86439999999999995</v>
      </c>
      <c r="C43" s="23"/>
      <c r="D43" s="23">
        <f t="shared" si="8"/>
        <v>0.13560000000000005</v>
      </c>
      <c r="E43" s="31"/>
      <c r="F43" s="499">
        <v>0</v>
      </c>
      <c r="G43" s="445"/>
      <c r="H43" s="499">
        <v>5.6000000000000001E-2</v>
      </c>
      <c r="I43" s="445"/>
      <c r="J43" s="462">
        <f t="shared" si="4"/>
        <v>8.0000000000000002E-3</v>
      </c>
      <c r="K43" s="31"/>
      <c r="L43" s="462">
        <f t="shared" ref="L43:L44" si="9">F43+J43</f>
        <v>8.0000000000000002E-3</v>
      </c>
      <c r="M43" s="351"/>
      <c r="N43" s="387"/>
    </row>
    <row r="44" spans="1:14" s="173" customFormat="1" ht="14.9" customHeight="1">
      <c r="A44" s="31">
        <f>+'Exhibit 4.1'!B45</f>
        <v>2023</v>
      </c>
      <c r="B44" s="445">
        <v>0.86439999999999995</v>
      </c>
      <c r="C44" s="23"/>
      <c r="D44" s="23">
        <f t="shared" si="8"/>
        <v>0.13560000000000005</v>
      </c>
      <c r="E44" s="31"/>
      <c r="F44" s="499">
        <v>0</v>
      </c>
      <c r="G44" s="445"/>
      <c r="H44" s="499">
        <v>3.4000000000000002E-2</v>
      </c>
      <c r="I44" s="445"/>
      <c r="J44" s="462">
        <f t="shared" si="4"/>
        <v>5.0000000000000001E-3</v>
      </c>
      <c r="K44" s="31"/>
      <c r="L44" s="462">
        <f t="shared" si="9"/>
        <v>5.0000000000000001E-3</v>
      </c>
      <c r="M44" s="341"/>
      <c r="N44" s="341"/>
    </row>
    <row r="45" spans="1:14" s="211" customFormat="1" ht="14.9" customHeight="1">
      <c r="A45" s="31">
        <f>+'Exhibit 4.1'!B46</f>
        <v>2024</v>
      </c>
      <c r="B45" s="445">
        <v>0.86439999999999995</v>
      </c>
      <c r="C45" s="23"/>
      <c r="D45" s="23">
        <f t="shared" ref="D45" si="10">1-B45</f>
        <v>0.13560000000000005</v>
      </c>
      <c r="E45" s="31"/>
      <c r="F45" s="499">
        <v>0</v>
      </c>
      <c r="G45" s="445"/>
      <c r="H45" s="499">
        <v>2.3E-2</v>
      </c>
      <c r="I45" s="445"/>
      <c r="J45" s="462">
        <f t="shared" si="4"/>
        <v>3.0000000000000001E-3</v>
      </c>
      <c r="K45" s="31"/>
      <c r="L45" s="462">
        <f>F45+J45</f>
        <v>3.0000000000000001E-3</v>
      </c>
      <c r="M45" s="341"/>
      <c r="N45" s="341"/>
    </row>
    <row r="46" spans="1:14" s="135" customFormat="1" ht="14.9" customHeight="1">
      <c r="A46" s="45" t="str">
        <f>+'Exhibit 4.1'!B47</f>
        <v>9/1/2024</v>
      </c>
      <c r="B46" s="445">
        <v>0.86439999999999995</v>
      </c>
      <c r="C46" s="23"/>
      <c r="D46" s="23">
        <f t="shared" ref="D46" si="11">1-B46</f>
        <v>0.13560000000000005</v>
      </c>
      <c r="E46" s="31"/>
      <c r="F46" s="499">
        <v>0</v>
      </c>
      <c r="G46" s="445" t="s">
        <v>557</v>
      </c>
      <c r="H46" s="499">
        <v>3.3058903246372395E-3</v>
      </c>
      <c r="I46" s="445" t="s">
        <v>558</v>
      </c>
      <c r="J46" s="462">
        <f t="shared" si="4"/>
        <v>0</v>
      </c>
      <c r="K46" s="31"/>
      <c r="L46" s="462">
        <f>F46+J46</f>
        <v>0</v>
      </c>
      <c r="M46" s="341"/>
      <c r="N46" s="341"/>
    </row>
    <row r="47" spans="1:14" ht="26.15" customHeight="1">
      <c r="A47" s="45"/>
      <c r="B47" s="44"/>
      <c r="C47" s="44"/>
      <c r="D47" s="23"/>
      <c r="E47" s="341"/>
      <c r="F47" s="158"/>
      <c r="G47" s="341"/>
      <c r="H47" s="341"/>
      <c r="I47" s="341"/>
      <c r="J47" s="50"/>
      <c r="K47" s="341"/>
      <c r="L47" s="50"/>
      <c r="M47" s="341"/>
      <c r="N47" s="341"/>
    </row>
    <row r="48" spans="1:14" ht="25" customHeight="1">
      <c r="A48" s="46" t="s">
        <v>22</v>
      </c>
      <c r="B48" s="510" t="s">
        <v>318</v>
      </c>
      <c r="C48" s="510"/>
      <c r="D48" s="510"/>
      <c r="E48" s="510"/>
      <c r="F48" s="510"/>
      <c r="G48" s="510"/>
      <c r="H48" s="510"/>
      <c r="I48" s="510"/>
      <c r="J48" s="510"/>
      <c r="K48" s="510"/>
      <c r="L48" s="510"/>
      <c r="M48" s="510"/>
      <c r="N48" s="341"/>
    </row>
    <row r="49" spans="1:14" ht="38.15" customHeight="1">
      <c r="A49" s="46" t="s">
        <v>28</v>
      </c>
      <c r="B49" s="510" t="s">
        <v>447</v>
      </c>
      <c r="C49" s="510"/>
      <c r="D49" s="510"/>
      <c r="E49" s="510"/>
      <c r="F49" s="510"/>
      <c r="G49" s="510"/>
      <c r="H49" s="510"/>
      <c r="I49" s="510"/>
      <c r="J49" s="510"/>
      <c r="K49" s="510"/>
      <c r="L49" s="510"/>
      <c r="M49" s="510"/>
      <c r="N49" s="341"/>
    </row>
    <row r="50" spans="1:14" ht="12.75" customHeight="1">
      <c r="A50" s="46" t="s">
        <v>38</v>
      </c>
      <c r="B50" s="156" t="s">
        <v>103</v>
      </c>
      <c r="C50" s="156"/>
      <c r="D50" s="156"/>
      <c r="E50" s="156"/>
      <c r="F50" s="156"/>
      <c r="G50" s="156"/>
      <c r="H50" s="156"/>
      <c r="I50" s="156"/>
      <c r="J50" s="156"/>
      <c r="K50" s="156"/>
      <c r="L50" s="156"/>
      <c r="M50" s="341"/>
      <c r="N50" s="341"/>
    </row>
    <row r="51" spans="1:14" ht="76" customHeight="1">
      <c r="A51" s="47" t="s">
        <v>57</v>
      </c>
      <c r="B51" s="510" t="s">
        <v>104</v>
      </c>
      <c r="C51" s="510"/>
      <c r="D51" s="510"/>
      <c r="E51" s="510"/>
      <c r="F51" s="510"/>
      <c r="G51" s="510"/>
      <c r="H51" s="510"/>
      <c r="I51" s="510"/>
      <c r="J51" s="510"/>
      <c r="K51" s="510"/>
      <c r="L51" s="510"/>
      <c r="M51" s="510"/>
      <c r="N51" s="341"/>
    </row>
    <row r="52" spans="1:14" ht="12.75" customHeight="1">
      <c r="A52" s="47" t="s">
        <v>41</v>
      </c>
      <c r="B52" s="41" t="s">
        <v>105</v>
      </c>
      <c r="C52" s="41"/>
      <c r="D52" s="41"/>
      <c r="E52" s="41"/>
      <c r="F52" s="41"/>
      <c r="G52" s="41"/>
      <c r="H52" s="41"/>
      <c r="I52" s="41"/>
      <c r="J52" s="41"/>
      <c r="K52" s="41"/>
      <c r="L52" s="41"/>
      <c r="M52" s="341"/>
      <c r="N52" s="341"/>
    </row>
    <row r="53" spans="1:14" ht="25" customHeight="1">
      <c r="A53" s="47" t="s">
        <v>76</v>
      </c>
      <c r="B53" s="523" t="s">
        <v>440</v>
      </c>
      <c r="C53" s="523"/>
      <c r="D53" s="523"/>
      <c r="E53" s="523"/>
      <c r="F53" s="523"/>
      <c r="G53" s="523"/>
      <c r="H53" s="523"/>
      <c r="I53" s="523"/>
      <c r="J53" s="523"/>
      <c r="K53" s="523"/>
      <c r="L53" s="523"/>
      <c r="M53" s="523"/>
      <c r="N53" s="341"/>
    </row>
  </sheetData>
  <mergeCells count="4">
    <mergeCell ref="B53:M53"/>
    <mergeCell ref="B48:M48"/>
    <mergeCell ref="B49:M49"/>
    <mergeCell ref="B51:M51"/>
  </mergeCells>
  <pageMargins left="0.5" right="0.5" top="0.75" bottom="0.75" header="0.33" footer="0.33"/>
  <pageSetup scale="76" orientation="portrait" blackAndWhite="1" r:id="rId1"/>
  <headerFooter scaleWithDoc="0">
    <oddHeader>&amp;R&amp;"Arial,Regular"&amp;10Exhibit 4.2</oddHeader>
  </headerFooter>
  <rowBreaks count="1" manualBreakCount="1">
    <brk id="53" max="12" man="1"/>
  </rowBreaks>
  <ignoredErrors>
    <ignoredError sqref="B3:L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H50"/>
  <sheetViews>
    <sheetView zoomScaleNormal="100" zoomScaleSheetLayoutView="115" workbookViewId="0">
      <selection sqref="A1:H1"/>
    </sheetView>
  </sheetViews>
  <sheetFormatPr defaultColWidth="9.1796875" defaultRowHeight="12.5"/>
  <cols>
    <col min="1" max="1" width="8.1796875" style="89" customWidth="1"/>
    <col min="2" max="2" width="11.54296875" style="89" customWidth="1"/>
    <col min="3" max="3" width="9.1796875" style="36" customWidth="1"/>
    <col min="4" max="4" width="20.1796875" style="36" customWidth="1"/>
    <col min="5" max="5" width="6.81640625" style="36" customWidth="1"/>
    <col min="6" max="6" width="18.453125" style="89" customWidth="1"/>
    <col min="7" max="7" width="7.81640625" style="36" customWidth="1"/>
    <col min="8" max="8" width="7.1796875" style="89" customWidth="1"/>
    <col min="9" max="16384" width="9.1796875" style="89"/>
  </cols>
  <sheetData>
    <row r="1" spans="1:8" ht="13">
      <c r="A1" s="516" t="s">
        <v>106</v>
      </c>
      <c r="B1" s="516"/>
      <c r="C1" s="516"/>
      <c r="D1" s="516"/>
      <c r="E1" s="516"/>
      <c r="F1" s="516"/>
      <c r="G1" s="516"/>
      <c r="H1" s="516"/>
    </row>
    <row r="2" spans="1:8">
      <c r="A2" s="31"/>
      <c r="B2" s="31"/>
      <c r="C2" s="32"/>
      <c r="D2" s="32"/>
      <c r="E2" s="32"/>
      <c r="F2" s="31"/>
      <c r="H2" s="31"/>
    </row>
    <row r="3" spans="1:8">
      <c r="A3" s="31"/>
      <c r="B3" s="31"/>
      <c r="C3" s="32" t="s">
        <v>45</v>
      </c>
      <c r="D3" s="32"/>
      <c r="E3" s="32" t="s">
        <v>46</v>
      </c>
      <c r="F3" s="31"/>
      <c r="G3" s="144" t="s">
        <v>47</v>
      </c>
      <c r="H3" s="31"/>
    </row>
    <row r="4" spans="1:8">
      <c r="A4" s="31"/>
      <c r="B4" s="31"/>
      <c r="C4" s="31" t="s">
        <v>107</v>
      </c>
      <c r="D4" s="31"/>
      <c r="E4" s="31" t="s">
        <v>108</v>
      </c>
      <c r="F4" s="31"/>
      <c r="G4" s="31" t="s">
        <v>109</v>
      </c>
      <c r="H4" s="31"/>
    </row>
    <row r="5" spans="1:8">
      <c r="A5" s="31" t="s">
        <v>54</v>
      </c>
      <c r="B5" s="31"/>
      <c r="C5" s="31" t="s">
        <v>110</v>
      </c>
      <c r="D5" s="31"/>
      <c r="E5" s="31" t="s">
        <v>111</v>
      </c>
      <c r="F5" s="31"/>
      <c r="G5" s="31" t="s">
        <v>112</v>
      </c>
      <c r="H5" s="31"/>
    </row>
    <row r="6" spans="1:8">
      <c r="A6" s="33" t="s">
        <v>8</v>
      </c>
      <c r="B6" s="33"/>
      <c r="C6" s="33" t="s">
        <v>344</v>
      </c>
      <c r="D6" s="33"/>
      <c r="E6" s="33" t="s">
        <v>345</v>
      </c>
      <c r="F6" s="33"/>
      <c r="G6" s="33" t="s">
        <v>346</v>
      </c>
      <c r="H6" s="33"/>
    </row>
    <row r="7" spans="1:8">
      <c r="A7" s="31"/>
      <c r="B7" s="36"/>
      <c r="F7" s="36"/>
      <c r="H7" s="36"/>
    </row>
    <row r="8" spans="1:8">
      <c r="A8" s="31">
        <f>+'Exhibit 4.1'!B9</f>
        <v>1987</v>
      </c>
      <c r="B8" s="36"/>
      <c r="C8" s="464">
        <v>0</v>
      </c>
      <c r="E8" s="464">
        <v>0</v>
      </c>
      <c r="F8" s="36"/>
      <c r="G8" s="50">
        <f t="shared" ref="G8:G39" si="0">(C8+1)*(1+E8)-1</f>
        <v>0</v>
      </c>
      <c r="H8" s="36"/>
    </row>
    <row r="9" spans="1:8">
      <c r="A9" s="31">
        <f>+'Exhibit 4.1'!B10</f>
        <v>1988</v>
      </c>
      <c r="B9" s="36"/>
      <c r="C9" s="464">
        <v>0</v>
      </c>
      <c r="E9" s="464">
        <v>0</v>
      </c>
      <c r="F9" s="36"/>
      <c r="G9" s="50">
        <f t="shared" si="0"/>
        <v>0</v>
      </c>
      <c r="H9" s="36"/>
    </row>
    <row r="10" spans="1:8">
      <c r="A10" s="31">
        <f>+'Exhibit 4.1'!B11</f>
        <v>1989</v>
      </c>
      <c r="B10" s="36"/>
      <c r="C10" s="464">
        <v>0</v>
      </c>
      <c r="E10" s="464">
        <v>0</v>
      </c>
      <c r="F10" s="36"/>
      <c r="G10" s="50">
        <f t="shared" si="0"/>
        <v>0</v>
      </c>
      <c r="H10" s="36"/>
    </row>
    <row r="11" spans="1:8">
      <c r="A11" s="31">
        <f>+'Exhibit 4.1'!B12</f>
        <v>1990</v>
      </c>
      <c r="B11" s="36"/>
      <c r="C11" s="464">
        <v>-7.0000000000000001E-3</v>
      </c>
      <c r="E11" s="464">
        <v>0.19900000000000001</v>
      </c>
      <c r="F11" s="36"/>
      <c r="G11" s="50">
        <f t="shared" si="0"/>
        <v>0.19060699999999997</v>
      </c>
      <c r="H11" s="36"/>
    </row>
    <row r="12" spans="1:8">
      <c r="A12" s="31">
        <f>+'Exhibit 4.1'!B13</f>
        <v>1991</v>
      </c>
      <c r="B12" s="36"/>
      <c r="C12" s="464">
        <v>-1.6E-2</v>
      </c>
      <c r="E12" s="464">
        <v>0.14699999999999999</v>
      </c>
      <c r="F12" s="36"/>
      <c r="G12" s="50">
        <f t="shared" si="0"/>
        <v>0.1286480000000001</v>
      </c>
      <c r="H12" s="36"/>
    </row>
    <row r="13" spans="1:8">
      <c r="A13" s="31">
        <f>+'Exhibit 4.1'!B14</f>
        <v>1992</v>
      </c>
      <c r="B13" s="36"/>
      <c r="C13" s="464">
        <v>5.0000000000000001E-3</v>
      </c>
      <c r="E13" s="464">
        <v>-8.4000000000000005E-2</v>
      </c>
      <c r="F13" s="36"/>
      <c r="G13" s="50">
        <f t="shared" si="0"/>
        <v>-7.9420000000000046E-2</v>
      </c>
      <c r="H13" s="36"/>
    </row>
    <row r="14" spans="1:8">
      <c r="A14" s="31">
        <f>+'Exhibit 4.1'!B15</f>
        <v>1993</v>
      </c>
      <c r="B14" s="36"/>
      <c r="C14" s="464">
        <v>-7.0000000000000001E-3</v>
      </c>
      <c r="E14" s="464">
        <v>-0.18099999999999999</v>
      </c>
      <c r="F14" s="36"/>
      <c r="G14" s="50">
        <f t="shared" si="0"/>
        <v>-0.18673300000000004</v>
      </c>
      <c r="H14" s="36"/>
    </row>
    <row r="15" spans="1:8">
      <c r="A15" s="31">
        <f>+'Exhibit 4.1'!B16</f>
        <v>1994</v>
      </c>
      <c r="B15" s="36"/>
      <c r="C15" s="464">
        <v>-2.5999999999999999E-2</v>
      </c>
      <c r="E15" s="464">
        <v>3.0000000000000001E-3</v>
      </c>
      <c r="F15" s="36"/>
      <c r="G15" s="50">
        <f t="shared" si="0"/>
        <v>-2.3078000000000154E-2</v>
      </c>
      <c r="H15" s="36"/>
    </row>
    <row r="16" spans="1:8">
      <c r="A16" s="31">
        <f>+'Exhibit 4.1'!B17</f>
        <v>1995</v>
      </c>
      <c r="B16" s="36"/>
      <c r="C16" s="464">
        <v>0</v>
      </c>
      <c r="E16" s="464">
        <v>5.0000000000000001E-3</v>
      </c>
      <c r="F16" s="36"/>
      <c r="G16" s="50">
        <f t="shared" si="0"/>
        <v>4.9999999999998934E-3</v>
      </c>
      <c r="H16" s="36"/>
    </row>
    <row r="17" spans="1:8">
      <c r="A17" s="31">
        <f>+'Exhibit 4.1'!B18</f>
        <v>1996</v>
      </c>
      <c r="B17" s="36"/>
      <c r="C17" s="464">
        <v>0</v>
      </c>
      <c r="E17" s="464">
        <v>4.0000000000000001E-3</v>
      </c>
      <c r="F17" s="36"/>
      <c r="G17" s="50">
        <f t="shared" si="0"/>
        <v>4.0000000000000036E-3</v>
      </c>
      <c r="H17" s="36"/>
    </row>
    <row r="18" spans="1:8">
      <c r="A18" s="31">
        <f>+'Exhibit 4.1'!B19</f>
        <v>1997</v>
      </c>
      <c r="B18" s="36"/>
      <c r="C18" s="464">
        <v>0</v>
      </c>
      <c r="E18" s="464">
        <v>2E-3</v>
      </c>
      <c r="F18" s="36"/>
      <c r="G18" s="50">
        <f t="shared" si="0"/>
        <v>2.0000000000000018E-3</v>
      </c>
      <c r="H18" s="36"/>
    </row>
    <row r="19" spans="1:8">
      <c r="A19" s="31">
        <f>+'Exhibit 4.1'!B20</f>
        <v>1998</v>
      </c>
      <c r="B19" s="36"/>
      <c r="C19" s="464">
        <v>0.126</v>
      </c>
      <c r="E19" s="464">
        <v>0</v>
      </c>
      <c r="F19" s="36"/>
      <c r="G19" s="50">
        <f t="shared" si="0"/>
        <v>0.12599999999999989</v>
      </c>
      <c r="H19" s="36"/>
    </row>
    <row r="20" spans="1:8">
      <c r="A20" s="31">
        <f>+'Exhibit 4.1'!B21</f>
        <v>1999</v>
      </c>
      <c r="B20" s="36"/>
      <c r="C20" s="464">
        <v>0.126</v>
      </c>
      <c r="E20" s="464">
        <v>0</v>
      </c>
      <c r="F20" s="36"/>
      <c r="G20" s="50">
        <f t="shared" si="0"/>
        <v>0.12599999999999989</v>
      </c>
      <c r="H20" s="36"/>
    </row>
    <row r="21" spans="1:8">
      <c r="A21" s="31">
        <f>+'Exhibit 4.1'!B22</f>
        <v>2000</v>
      </c>
      <c r="B21" s="36"/>
      <c r="C21" s="464">
        <v>7.0000000000000007E-2</v>
      </c>
      <c r="E21" s="464">
        <v>0</v>
      </c>
      <c r="F21" s="36"/>
      <c r="G21" s="50">
        <f t="shared" si="0"/>
        <v>7.0000000000000062E-2</v>
      </c>
      <c r="H21" s="36"/>
    </row>
    <row r="22" spans="1:8">
      <c r="A22" s="31">
        <f>+'Exhibit 4.1'!B23</f>
        <v>2001</v>
      </c>
      <c r="B22" s="36"/>
      <c r="C22" s="464">
        <v>6.6000000000000003E-2</v>
      </c>
      <c r="E22" s="464">
        <v>0</v>
      </c>
      <c r="F22" s="36"/>
      <c r="G22" s="50">
        <f t="shared" si="0"/>
        <v>6.6000000000000059E-2</v>
      </c>
      <c r="H22" s="36"/>
    </row>
    <row r="23" spans="1:8">
      <c r="A23" s="31">
        <f>+'Exhibit 4.1'!B24</f>
        <v>2002</v>
      </c>
      <c r="B23" s="36"/>
      <c r="C23" s="464">
        <v>-5.6000000000000001E-2</v>
      </c>
      <c r="E23" s="464">
        <v>0</v>
      </c>
      <c r="F23" s="36"/>
      <c r="G23" s="50">
        <f t="shared" si="0"/>
        <v>-5.600000000000005E-2</v>
      </c>
      <c r="H23" s="36"/>
    </row>
    <row r="24" spans="1:8">
      <c r="A24" s="31">
        <f>+'Exhibit 4.1'!B25</f>
        <v>2003</v>
      </c>
      <c r="B24" s="36"/>
      <c r="C24" s="464">
        <v>-0.06</v>
      </c>
      <c r="E24" s="464">
        <v>0</v>
      </c>
      <c r="F24" s="36"/>
      <c r="G24" s="50">
        <f t="shared" si="0"/>
        <v>-6.0000000000000053E-2</v>
      </c>
      <c r="H24" s="36"/>
    </row>
    <row r="25" spans="1:8">
      <c r="A25" s="31">
        <f>+'Exhibit 4.1'!B26</f>
        <v>2004</v>
      </c>
      <c r="B25" s="36"/>
      <c r="C25" s="464">
        <v>-0.24399999999999999</v>
      </c>
      <c r="E25" s="464">
        <v>-0.125</v>
      </c>
      <c r="F25" s="36"/>
      <c r="G25" s="50">
        <f t="shared" si="0"/>
        <v>-0.33850000000000002</v>
      </c>
      <c r="H25" s="36"/>
    </row>
    <row r="26" spans="1:8">
      <c r="A26" s="31">
        <f>+'Exhibit 4.1'!B27</f>
        <v>2005</v>
      </c>
      <c r="B26" s="36"/>
      <c r="C26" s="464">
        <v>0</v>
      </c>
      <c r="E26" s="464">
        <v>-0.13900000000000001</v>
      </c>
      <c r="F26" s="36"/>
      <c r="G26" s="50">
        <f t="shared" si="0"/>
        <v>-0.13900000000000001</v>
      </c>
      <c r="H26" s="36"/>
    </row>
    <row r="27" spans="1:8">
      <c r="A27" s="31">
        <f>+'Exhibit 4.1'!B28</f>
        <v>2006</v>
      </c>
      <c r="B27" s="36"/>
      <c r="C27" s="464">
        <v>1E-3</v>
      </c>
      <c r="E27" s="464">
        <v>-5.1999999999999998E-2</v>
      </c>
      <c r="F27" s="36"/>
      <c r="G27" s="50">
        <f t="shared" si="0"/>
        <v>-5.1052000000000097E-2</v>
      </c>
      <c r="H27" s="36"/>
    </row>
    <row r="28" spans="1:8">
      <c r="A28" s="31">
        <f>+'Exhibit 4.1'!B29</f>
        <v>2007</v>
      </c>
      <c r="B28" s="36"/>
      <c r="C28" s="464">
        <v>1E-3</v>
      </c>
      <c r="E28" s="464">
        <v>0</v>
      </c>
      <c r="F28" s="36"/>
      <c r="G28" s="50">
        <f t="shared" si="0"/>
        <v>9.9999999999988987E-4</v>
      </c>
      <c r="H28" s="36"/>
    </row>
    <row r="29" spans="1:8">
      <c r="A29" s="31">
        <f>+'Exhibit 4.1'!B30</f>
        <v>2008</v>
      </c>
      <c r="B29" s="36"/>
      <c r="C29" s="464">
        <v>2E-3</v>
      </c>
      <c r="E29" s="464">
        <v>3.0000000000000001E-3</v>
      </c>
      <c r="F29" s="36"/>
      <c r="G29" s="50">
        <f t="shared" si="0"/>
        <v>5.0059999999998439E-3</v>
      </c>
      <c r="H29" s="36"/>
    </row>
    <row r="30" spans="1:8">
      <c r="A30" s="31">
        <f>+'Exhibit 4.1'!B31</f>
        <v>2009</v>
      </c>
      <c r="B30" s="36"/>
      <c r="C30" s="464">
        <v>0</v>
      </c>
      <c r="E30" s="464">
        <v>0.01</v>
      </c>
      <c r="F30" s="36"/>
      <c r="G30" s="50">
        <f t="shared" si="0"/>
        <v>1.0000000000000009E-2</v>
      </c>
      <c r="H30" s="36"/>
    </row>
    <row r="31" spans="1:8">
      <c r="A31" s="31">
        <f>+'Exhibit 4.1'!B32</f>
        <v>2010</v>
      </c>
      <c r="B31" s="36"/>
      <c r="C31" s="464">
        <v>0</v>
      </c>
      <c r="E31" s="464">
        <v>0</v>
      </c>
      <c r="F31" s="36"/>
      <c r="G31" s="50">
        <f t="shared" si="0"/>
        <v>0</v>
      </c>
      <c r="H31" s="36"/>
    </row>
    <row r="32" spans="1:8">
      <c r="A32" s="31">
        <f>+'Exhibit 4.1'!B33</f>
        <v>2011</v>
      </c>
      <c r="B32" s="36"/>
      <c r="C32" s="464">
        <v>-0.02</v>
      </c>
      <c r="E32" s="464">
        <v>0</v>
      </c>
      <c r="F32" s="36"/>
      <c r="G32" s="50">
        <f t="shared" si="0"/>
        <v>-2.0000000000000018E-2</v>
      </c>
      <c r="H32" s="36"/>
    </row>
    <row r="33" spans="1:8">
      <c r="A33" s="31">
        <f>+'Exhibit 4.1'!B34</f>
        <v>2012</v>
      </c>
      <c r="B33" s="36"/>
      <c r="C33" s="464">
        <v>-4.3999999999999997E-2</v>
      </c>
      <c r="D33" s="159"/>
      <c r="E33" s="464">
        <v>0</v>
      </c>
      <c r="F33" s="36"/>
      <c r="G33" s="50">
        <f t="shared" si="0"/>
        <v>-4.4000000000000039E-2</v>
      </c>
      <c r="H33" s="36"/>
    </row>
    <row r="34" spans="1:8">
      <c r="A34" s="31">
        <f>+'Exhibit 4.1'!B35</f>
        <v>2013</v>
      </c>
      <c r="B34" s="36"/>
      <c r="C34" s="464">
        <v>-8.3000000000000004E-2</v>
      </c>
      <c r="E34" s="464">
        <v>2E-3</v>
      </c>
      <c r="F34" s="36"/>
      <c r="G34" s="50">
        <f t="shared" si="0"/>
        <v>-8.116599999999996E-2</v>
      </c>
      <c r="H34" s="36"/>
    </row>
    <row r="35" spans="1:8">
      <c r="A35" s="31">
        <f>+'Exhibit 4.1'!B36</f>
        <v>2014</v>
      </c>
      <c r="B35" s="36"/>
      <c r="C35" s="464">
        <v>-0.06</v>
      </c>
      <c r="E35" s="464">
        <v>1.2999999999999999E-2</v>
      </c>
      <c r="F35" s="31"/>
      <c r="G35" s="50">
        <f t="shared" si="0"/>
        <v>-4.7780000000000156E-2</v>
      </c>
      <c r="H35" s="36"/>
    </row>
    <row r="36" spans="1:8">
      <c r="A36" s="31">
        <f>+'Exhibit 4.1'!B37</f>
        <v>2015</v>
      </c>
      <c r="B36" s="36"/>
      <c r="C36" s="464">
        <v>-2.1999999999999999E-2</v>
      </c>
      <c r="E36" s="464">
        <v>0</v>
      </c>
      <c r="F36" s="31"/>
      <c r="G36" s="50">
        <f t="shared" si="0"/>
        <v>-2.200000000000002E-2</v>
      </c>
      <c r="H36" s="36"/>
    </row>
    <row r="37" spans="1:8">
      <c r="A37" s="31">
        <f>+'Exhibit 4.1'!B38</f>
        <v>2016</v>
      </c>
      <c r="B37" s="36"/>
      <c r="C37" s="464">
        <v>-7.0000000000000001E-3</v>
      </c>
      <c r="E37" s="464">
        <v>0</v>
      </c>
      <c r="F37" s="31"/>
      <c r="G37" s="50">
        <f t="shared" si="0"/>
        <v>-7.0000000000000062E-3</v>
      </c>
      <c r="H37" s="36"/>
    </row>
    <row r="38" spans="1:8">
      <c r="A38" s="31">
        <f>+'Exhibit 4.1'!B39</f>
        <v>2017</v>
      </c>
      <c r="B38" s="36"/>
      <c r="C38" s="464">
        <v>-5.0000000000000001E-3</v>
      </c>
      <c r="E38" s="464">
        <v>0</v>
      </c>
      <c r="F38" s="31"/>
      <c r="G38" s="50">
        <f t="shared" si="0"/>
        <v>-5.0000000000000044E-3</v>
      </c>
      <c r="H38" s="36"/>
    </row>
    <row r="39" spans="1:8">
      <c r="A39" s="31">
        <f>+'Exhibit 4.1'!B40</f>
        <v>2018</v>
      </c>
      <c r="B39" s="36"/>
      <c r="C39" s="464">
        <v>-3.0000000000000001E-3</v>
      </c>
      <c r="E39" s="464">
        <v>0</v>
      </c>
      <c r="F39" s="36"/>
      <c r="G39" s="50">
        <f t="shared" si="0"/>
        <v>-3.0000000000000027E-3</v>
      </c>
      <c r="H39" s="36"/>
    </row>
    <row r="40" spans="1:8" s="229" customFormat="1">
      <c r="A40" s="31">
        <f>+'Exhibit 4.1'!B41</f>
        <v>2019</v>
      </c>
      <c r="B40" s="328"/>
      <c r="C40" s="464">
        <v>0</v>
      </c>
      <c r="D40" s="328"/>
      <c r="E40" s="464">
        <v>0</v>
      </c>
      <c r="F40" s="328"/>
      <c r="G40" s="50">
        <f t="shared" ref="G40" si="1">(C40+1)*(1+E40)-1</f>
        <v>0</v>
      </c>
      <c r="H40" s="328"/>
    </row>
    <row r="41" spans="1:8" s="131" customFormat="1">
      <c r="A41" s="31">
        <f>+'Exhibit 4.1'!B42</f>
        <v>2020</v>
      </c>
      <c r="B41" s="36"/>
      <c r="C41" s="464">
        <v>0</v>
      </c>
      <c r="D41" s="36"/>
      <c r="E41" s="464">
        <v>0</v>
      </c>
      <c r="F41" s="36"/>
      <c r="G41" s="50">
        <f t="shared" ref="G41:G44" si="2">(C41+1)*(1+E41)-1</f>
        <v>0</v>
      </c>
      <c r="H41" s="36"/>
    </row>
    <row r="42" spans="1:8">
      <c r="A42" s="31">
        <f>+'Exhibit 4.1'!B43</f>
        <v>2021</v>
      </c>
      <c r="B42" s="36"/>
      <c r="C42" s="464">
        <v>0</v>
      </c>
      <c r="E42" s="464">
        <v>0</v>
      </c>
      <c r="F42" s="36"/>
      <c r="G42" s="50">
        <f t="shared" si="2"/>
        <v>0</v>
      </c>
      <c r="H42" s="36"/>
    </row>
    <row r="43" spans="1:8" s="229" customFormat="1">
      <c r="A43" s="31">
        <f>+'Exhibit 4.1'!B44</f>
        <v>2022</v>
      </c>
      <c r="B43" s="387"/>
      <c r="C43" s="464">
        <v>0</v>
      </c>
      <c r="D43" s="387"/>
      <c r="E43" s="464">
        <v>0</v>
      </c>
      <c r="F43" s="387"/>
      <c r="G43" s="50">
        <f t="shared" si="2"/>
        <v>0</v>
      </c>
      <c r="H43" s="387"/>
    </row>
    <row r="44" spans="1:8" s="173" customFormat="1">
      <c r="A44" s="31">
        <f>+'Exhibit 4.1'!B45</f>
        <v>2023</v>
      </c>
      <c r="B44" s="218"/>
      <c r="C44" s="464">
        <v>0</v>
      </c>
      <c r="D44" s="218"/>
      <c r="E44" s="464">
        <v>0</v>
      </c>
      <c r="F44" s="218"/>
      <c r="G44" s="50">
        <f t="shared" si="2"/>
        <v>0</v>
      </c>
      <c r="H44" s="36"/>
    </row>
    <row r="45" spans="1:8" s="211" customFormat="1">
      <c r="A45" s="31">
        <f>+'Exhibit 4.1'!B46</f>
        <v>2024</v>
      </c>
      <c r="B45" s="218"/>
      <c r="C45" s="464">
        <v>0</v>
      </c>
      <c r="D45" s="218"/>
      <c r="E45" s="464">
        <v>0</v>
      </c>
      <c r="F45" s="218"/>
      <c r="G45" s="50">
        <f t="shared" ref="G45" si="3">(C45+1)*(1+E45)-1</f>
        <v>0</v>
      </c>
      <c r="H45" s="36"/>
    </row>
    <row r="46" spans="1:8" s="135" customFormat="1">
      <c r="A46" s="45" t="str">
        <f>+'Exhibit 4.1'!B47</f>
        <v>9/1/2024</v>
      </c>
      <c r="B46" s="218"/>
      <c r="C46" s="464">
        <v>0</v>
      </c>
      <c r="D46" s="218"/>
      <c r="E46" s="464">
        <v>0</v>
      </c>
      <c r="F46" s="218"/>
      <c r="G46" s="50">
        <f t="shared" ref="G46" si="4">(C46+1)*(1+E46)-1</f>
        <v>0</v>
      </c>
      <c r="H46" s="36"/>
    </row>
    <row r="47" spans="1:8">
      <c r="A47" s="36"/>
      <c r="B47" s="36"/>
      <c r="C47" s="50"/>
      <c r="E47" s="50"/>
      <c r="F47" s="36"/>
      <c r="H47" s="36"/>
    </row>
    <row r="48" spans="1:8" ht="53.15" customHeight="1">
      <c r="A48" s="25" t="s">
        <v>22</v>
      </c>
      <c r="B48" s="525" t="s">
        <v>428</v>
      </c>
      <c r="C48" s="525"/>
      <c r="D48" s="525"/>
      <c r="E48" s="525"/>
      <c r="F48" s="525"/>
      <c r="G48" s="525"/>
      <c r="H48" s="525"/>
    </row>
    <row r="49" spans="1:8" ht="27" customHeight="1">
      <c r="A49" s="25" t="s">
        <v>28</v>
      </c>
      <c r="B49" s="524" t="s">
        <v>113</v>
      </c>
      <c r="C49" s="524"/>
      <c r="D49" s="524"/>
      <c r="E49" s="524"/>
      <c r="F49" s="524"/>
      <c r="G49" s="524"/>
      <c r="H49" s="524"/>
    </row>
    <row r="50" spans="1:8" ht="12.75" customHeight="1">
      <c r="A50" s="25" t="s">
        <v>38</v>
      </c>
      <c r="B50" s="28" t="s">
        <v>114</v>
      </c>
      <c r="C50" s="28"/>
      <c r="D50" s="28"/>
      <c r="E50" s="28"/>
      <c r="F50" s="28"/>
      <c r="G50" s="28"/>
      <c r="H50" s="28"/>
    </row>
  </sheetData>
  <mergeCells count="3">
    <mergeCell ref="B49:H49"/>
    <mergeCell ref="A1:H1"/>
    <mergeCell ref="B48:H48"/>
  </mergeCells>
  <printOptions horizontalCentered="1"/>
  <pageMargins left="0.5" right="0.5" top="0.75" bottom="0.75" header="0.33" footer="0.33"/>
  <pageSetup orientation="portrait" blackAndWhite="1" horizontalDpi="1200" verticalDpi="1200" r:id="rId1"/>
  <headerFooter scaleWithDoc="0">
    <oddHeader>&amp;R&amp;"Arial,Regular"&amp;10Exhibit 4.3</oddHeader>
  </headerFooter>
  <ignoredErrors>
    <ignoredError sqref="C3:G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I54"/>
  <sheetViews>
    <sheetView zoomScaleNormal="100" zoomScaleSheetLayoutView="100" workbookViewId="0"/>
  </sheetViews>
  <sheetFormatPr defaultColWidth="9.1796875" defaultRowHeight="12.5"/>
  <cols>
    <col min="1" max="1" width="9.1796875" style="89" bestFit="1" customWidth="1"/>
    <col min="2" max="2" width="7.1796875" style="89" customWidth="1"/>
    <col min="3" max="3" width="13.81640625" style="89" customWidth="1"/>
    <col min="4" max="4" width="7.1796875" style="89" customWidth="1"/>
    <col min="5" max="5" width="13.81640625" style="89" customWidth="1"/>
    <col min="6" max="6" width="7.1796875" style="89" customWidth="1"/>
    <col min="7" max="7" width="13.81640625" style="89" customWidth="1"/>
    <col min="8" max="8" width="7.1796875" style="89" customWidth="1"/>
    <col min="9" max="9" width="9.81640625" style="36" customWidth="1"/>
    <col min="10" max="16384" width="9.1796875" style="89"/>
  </cols>
  <sheetData>
    <row r="1" spans="1:9" ht="13">
      <c r="A1" s="122" t="s">
        <v>115</v>
      </c>
      <c r="B1" s="122"/>
      <c r="C1" s="122"/>
      <c r="D1" s="122"/>
      <c r="E1" s="122"/>
      <c r="F1" s="122"/>
      <c r="G1" s="122"/>
      <c r="H1" s="122"/>
      <c r="I1" s="122"/>
    </row>
    <row r="2" spans="1:9">
      <c r="A2" s="31"/>
      <c r="B2" s="31"/>
      <c r="C2" s="32"/>
      <c r="D2" s="32"/>
      <c r="E2" s="32"/>
      <c r="F2" s="144"/>
      <c r="G2" s="144"/>
      <c r="H2" s="144"/>
      <c r="I2" s="144"/>
    </row>
    <row r="3" spans="1:9">
      <c r="A3" s="31"/>
      <c r="B3" s="31"/>
      <c r="C3" s="32" t="s">
        <v>45</v>
      </c>
      <c r="D3" s="32"/>
      <c r="E3" s="32" t="s">
        <v>46</v>
      </c>
      <c r="F3" s="31"/>
      <c r="G3" s="32" t="s">
        <v>47</v>
      </c>
      <c r="H3" s="144"/>
      <c r="I3" s="144" t="s">
        <v>48</v>
      </c>
    </row>
    <row r="4" spans="1:9">
      <c r="A4" s="31"/>
      <c r="B4" s="36"/>
      <c r="C4" s="59" t="s">
        <v>63</v>
      </c>
      <c r="D4" s="31"/>
      <c r="E4" s="59" t="s">
        <v>63</v>
      </c>
      <c r="F4" s="31"/>
      <c r="G4" s="31" t="s">
        <v>116</v>
      </c>
      <c r="H4" s="31"/>
      <c r="I4" s="23" t="s">
        <v>64</v>
      </c>
    </row>
    <row r="5" spans="1:9">
      <c r="A5" s="31"/>
      <c r="B5" s="36"/>
      <c r="C5" s="59" t="s">
        <v>88</v>
      </c>
      <c r="D5" s="31"/>
      <c r="E5" s="59" t="s">
        <v>117</v>
      </c>
      <c r="F5" s="31"/>
      <c r="G5" s="31" t="s">
        <v>118</v>
      </c>
      <c r="H5" s="31"/>
      <c r="I5" s="31" t="s">
        <v>5</v>
      </c>
    </row>
    <row r="6" spans="1:9">
      <c r="A6" s="31" t="s">
        <v>54</v>
      </c>
      <c r="B6" s="36"/>
      <c r="C6" s="59" t="s">
        <v>92</v>
      </c>
      <c r="D6" s="31"/>
      <c r="E6" s="59" t="s">
        <v>92</v>
      </c>
      <c r="F6" s="31"/>
      <c r="G6" s="31" t="s">
        <v>70</v>
      </c>
      <c r="H6" s="31"/>
      <c r="I6" s="31" t="s">
        <v>119</v>
      </c>
    </row>
    <row r="7" spans="1:9">
      <c r="A7" s="33" t="s">
        <v>8</v>
      </c>
      <c r="B7" s="36"/>
      <c r="C7" s="148" t="s">
        <v>120</v>
      </c>
      <c r="D7" s="31"/>
      <c r="E7" s="148" t="s">
        <v>342</v>
      </c>
      <c r="F7" s="31"/>
      <c r="G7" s="33" t="s">
        <v>343</v>
      </c>
      <c r="H7" s="31"/>
      <c r="I7" s="33" t="s">
        <v>75</v>
      </c>
    </row>
    <row r="8" spans="1:9">
      <c r="A8" s="31"/>
      <c r="B8" s="36"/>
      <c r="C8" s="36"/>
      <c r="D8" s="36"/>
      <c r="E8" s="36"/>
      <c r="F8" s="36"/>
      <c r="G8" s="36"/>
      <c r="H8" s="36"/>
    </row>
    <row r="9" spans="1:9">
      <c r="A9" s="31">
        <f>+'Exhibit 4.1'!B9</f>
        <v>1987</v>
      </c>
      <c r="B9" s="36"/>
      <c r="C9" s="149">
        <f>SUMIFS('Exhibit 4.2'!L:L,'Exhibit 4.2'!A:A,$A9)</f>
        <v>3.7999999999999916E-2</v>
      </c>
      <c r="D9" s="149"/>
      <c r="E9" s="149">
        <f>SUMIFS('Exhibit 4.3'!G:G,'Exhibit 4.3'!A:A,$A9)</f>
        <v>0</v>
      </c>
      <c r="F9" s="150"/>
      <c r="G9" s="149">
        <f t="shared" ref="G9:G47" si="0">(C9+1)*(1+E9)-1</f>
        <v>3.7999999999999812E-2</v>
      </c>
      <c r="H9" s="36"/>
      <c r="I9" s="24">
        <f>I10*(1+G10)</f>
        <v>0.85022649753261814</v>
      </c>
    </row>
    <row r="10" spans="1:9">
      <c r="A10" s="31">
        <f>+'Exhibit 4.1'!B10</f>
        <v>1988</v>
      </c>
      <c r="B10" s="36"/>
      <c r="C10" s="149">
        <f>SUMIFS('Exhibit 4.2'!L:L,'Exhibit 4.2'!A:A,$A10)</f>
        <v>3.7999999999999999E-2</v>
      </c>
      <c r="D10" s="149"/>
      <c r="E10" s="149">
        <f>SUMIFS('Exhibit 4.3'!G:G,'Exhibit 4.3'!A:A,$A10)</f>
        <v>0</v>
      </c>
      <c r="F10" s="150"/>
      <c r="G10" s="149">
        <f t="shared" si="0"/>
        <v>3.8000000000000034E-2</v>
      </c>
      <c r="H10" s="36"/>
      <c r="I10" s="24">
        <f t="shared" ref="I10:I44" si="1">I11*(1+G11)</f>
        <v>0.81910067199674197</v>
      </c>
    </row>
    <row r="11" spans="1:9">
      <c r="A11" s="31">
        <f>+'Exhibit 4.1'!B11</f>
        <v>1989</v>
      </c>
      <c r="B11" s="36"/>
      <c r="C11" s="149">
        <f>SUMIFS('Exhibit 4.2'!L:L,'Exhibit 4.2'!A:A,$A11)</f>
        <v>0.03</v>
      </c>
      <c r="D11" s="149"/>
      <c r="E11" s="149">
        <f>SUMIFS('Exhibit 4.3'!G:G,'Exhibit 4.3'!A:A,$A11)</f>
        <v>0</v>
      </c>
      <c r="F11" s="150"/>
      <c r="G11" s="149">
        <f t="shared" si="0"/>
        <v>3.0000000000000027E-2</v>
      </c>
      <c r="H11" s="36"/>
      <c r="I11" s="24">
        <f t="shared" si="1"/>
        <v>0.79524337087062325</v>
      </c>
    </row>
    <row r="12" spans="1:9">
      <c r="A12" s="31">
        <f>+'Exhibit 4.1'!B12</f>
        <v>1990</v>
      </c>
      <c r="B12" s="36"/>
      <c r="C12" s="149">
        <f>SUMIFS('Exhibit 4.2'!L:L,'Exhibit 4.2'!A:A,$A12)</f>
        <v>3.6999999999999998E-2</v>
      </c>
      <c r="D12" s="149"/>
      <c r="E12" s="149">
        <f>SUMIFS('Exhibit 4.3'!G:G,'Exhibit 4.3'!A:A,$A12)</f>
        <v>0.19060699999999997</v>
      </c>
      <c r="F12" s="150"/>
      <c r="G12" s="149">
        <f t="shared" si="0"/>
        <v>0.23465945899999996</v>
      </c>
      <c r="H12" s="36"/>
      <c r="I12" s="24">
        <f t="shared" si="1"/>
        <v>0.64409936284351854</v>
      </c>
    </row>
    <row r="13" spans="1:9">
      <c r="A13" s="31">
        <f>+'Exhibit 4.1'!B13</f>
        <v>1991</v>
      </c>
      <c r="B13" s="36"/>
      <c r="C13" s="149">
        <f>SUMIFS('Exhibit 4.2'!L:L,'Exhibit 4.2'!A:A,$A13)</f>
        <v>3.5999999999999997E-2</v>
      </c>
      <c r="D13" s="149"/>
      <c r="E13" s="149">
        <f>SUMIFS('Exhibit 4.3'!G:G,'Exhibit 4.3'!A:A,$A13)</f>
        <v>0.1286480000000001</v>
      </c>
      <c r="F13" s="150"/>
      <c r="G13" s="149">
        <f t="shared" si="0"/>
        <v>0.16927932800000023</v>
      </c>
      <c r="H13" s="36"/>
      <c r="I13" s="24">
        <f t="shared" si="1"/>
        <v>0.5508515779075831</v>
      </c>
    </row>
    <row r="14" spans="1:9">
      <c r="A14" s="31">
        <f>+'Exhibit 4.1'!B14</f>
        <v>1992</v>
      </c>
      <c r="B14" s="36"/>
      <c r="C14" s="149">
        <f>SUMIFS('Exhibit 4.2'!L:L,'Exhibit 4.2'!A:A,$A14)</f>
        <v>0.03</v>
      </c>
      <c r="D14" s="149"/>
      <c r="E14" s="149">
        <f>SUMIFS('Exhibit 4.3'!G:G,'Exhibit 4.3'!A:A,$A14)</f>
        <v>-7.9420000000000046E-2</v>
      </c>
      <c r="F14" s="150"/>
      <c r="G14" s="149">
        <f t="shared" si="0"/>
        <v>-5.1802600000000032E-2</v>
      </c>
      <c r="H14" s="36"/>
      <c r="I14" s="24">
        <f t="shared" si="1"/>
        <v>0.58094609614789405</v>
      </c>
    </row>
    <row r="15" spans="1:9">
      <c r="A15" s="31">
        <f>+'Exhibit 4.1'!B15</f>
        <v>1993</v>
      </c>
      <c r="B15" s="36"/>
      <c r="C15" s="149">
        <f>SUMIFS('Exhibit 4.2'!L:L,'Exhibit 4.2'!A:A,$A15)</f>
        <v>2.7E-2</v>
      </c>
      <c r="D15" s="149"/>
      <c r="E15" s="149">
        <f>SUMIFS('Exhibit 4.3'!G:G,'Exhibit 4.3'!A:A,$A15)</f>
        <v>-0.18673300000000004</v>
      </c>
      <c r="F15" s="150"/>
      <c r="G15" s="149">
        <f t="shared" si="0"/>
        <v>-0.16477479100000014</v>
      </c>
      <c r="H15" s="36"/>
      <c r="I15" s="24">
        <f t="shared" si="1"/>
        <v>0.69555622829374408</v>
      </c>
    </row>
    <row r="16" spans="1:9">
      <c r="A16" s="31">
        <f>+'Exhibit 4.1'!B16</f>
        <v>1994</v>
      </c>
      <c r="B16" s="36"/>
      <c r="C16" s="149">
        <f>SUMIFS('Exhibit 4.2'!L:L,'Exhibit 4.2'!A:A,$A16)</f>
        <v>-2.3E-2</v>
      </c>
      <c r="D16" s="149"/>
      <c r="E16" s="149">
        <f>SUMIFS('Exhibit 4.3'!G:G,'Exhibit 4.3'!A:A,$A16)</f>
        <v>-2.3078000000000154E-2</v>
      </c>
      <c r="F16" s="150"/>
      <c r="G16" s="149">
        <f t="shared" si="0"/>
        <v>-4.5547206000000173E-2</v>
      </c>
      <c r="H16" s="36"/>
      <c r="I16" s="24">
        <f t="shared" si="1"/>
        <v>0.72874869523797969</v>
      </c>
    </row>
    <row r="17" spans="1:9">
      <c r="A17" s="31">
        <f>+'Exhibit 4.1'!B17</f>
        <v>1995</v>
      </c>
      <c r="B17" s="36"/>
      <c r="C17" s="149">
        <f>SUMIFS('Exhibit 4.2'!L:L,'Exhibit 4.2'!A:A,$A17)</f>
        <v>8.9999999999999993E-3</v>
      </c>
      <c r="D17" s="149"/>
      <c r="E17" s="149">
        <f>SUMIFS('Exhibit 4.3'!G:G,'Exhibit 4.3'!A:A,$A17)</f>
        <v>4.9999999999998934E-3</v>
      </c>
      <c r="F17" s="150"/>
      <c r="G17" s="149">
        <f t="shared" si="0"/>
        <v>1.4044999999999863E-2</v>
      </c>
      <c r="H17" s="36"/>
      <c r="I17" s="24">
        <f t="shared" si="1"/>
        <v>0.71865518319007515</v>
      </c>
    </row>
    <row r="18" spans="1:9">
      <c r="A18" s="31">
        <f>+'Exhibit 4.1'!B18</f>
        <v>1996</v>
      </c>
      <c r="B18" s="36"/>
      <c r="C18" s="149">
        <f>SUMIFS('Exhibit 4.2'!L:L,'Exhibit 4.2'!A:A,$A18)</f>
        <v>0.01</v>
      </c>
      <c r="D18" s="149"/>
      <c r="E18" s="149">
        <f>SUMIFS('Exhibit 4.3'!G:G,'Exhibit 4.3'!A:A,$A18)</f>
        <v>4.0000000000000036E-3</v>
      </c>
      <c r="F18" s="150"/>
      <c r="G18" s="149">
        <f t="shared" si="0"/>
        <v>1.4040000000000052E-2</v>
      </c>
      <c r="H18" s="36"/>
      <c r="I18" s="24">
        <f t="shared" si="1"/>
        <v>0.70870496547480877</v>
      </c>
    </row>
    <row r="19" spans="1:9">
      <c r="A19" s="31">
        <f>+'Exhibit 4.1'!B19</f>
        <v>1997</v>
      </c>
      <c r="B19" s="36"/>
      <c r="C19" s="149">
        <f>SUMIFS('Exhibit 4.2'!L:L,'Exhibit 4.2'!A:A,$A19)</f>
        <v>7.0000000000000001E-3</v>
      </c>
      <c r="D19" s="149"/>
      <c r="E19" s="149">
        <f>SUMIFS('Exhibit 4.3'!G:G,'Exhibit 4.3'!A:A,$A19)</f>
        <v>2.0000000000000018E-3</v>
      </c>
      <c r="F19" s="150"/>
      <c r="G19" s="149">
        <f t="shared" si="0"/>
        <v>9.0139999999998555E-3</v>
      </c>
      <c r="H19" s="36"/>
      <c r="I19" s="24">
        <f t="shared" si="1"/>
        <v>0.70237376832710829</v>
      </c>
    </row>
    <row r="20" spans="1:9">
      <c r="A20" s="31">
        <f>+'Exhibit 4.1'!B20</f>
        <v>1998</v>
      </c>
      <c r="B20" s="36"/>
      <c r="C20" s="149">
        <f>SUMIFS('Exhibit 4.2'!L:L,'Exhibit 4.2'!A:A,$A20)</f>
        <v>8.0000000000000002E-3</v>
      </c>
      <c r="D20" s="149"/>
      <c r="E20" s="149">
        <f>SUMIFS('Exhibit 4.3'!G:G,'Exhibit 4.3'!A:A,$A20)</f>
        <v>0.12599999999999989</v>
      </c>
      <c r="F20" s="150"/>
      <c r="G20" s="149">
        <f t="shared" si="0"/>
        <v>0.13500799999999979</v>
      </c>
      <c r="H20" s="36"/>
      <c r="I20" s="24">
        <f t="shared" si="1"/>
        <v>0.61882715216730488</v>
      </c>
    </row>
    <row r="21" spans="1:9">
      <c r="A21" s="31">
        <f>+'Exhibit 4.1'!B21</f>
        <v>1999</v>
      </c>
      <c r="B21" s="36"/>
      <c r="C21" s="149">
        <f>SUMIFS('Exhibit 4.2'!L:L,'Exhibit 4.2'!A:A,$A21)</f>
        <v>2.5000000000000001E-2</v>
      </c>
      <c r="D21" s="149"/>
      <c r="E21" s="149">
        <f>SUMIFS('Exhibit 4.3'!G:G,'Exhibit 4.3'!A:A,$A21)</f>
        <v>0.12599999999999989</v>
      </c>
      <c r="F21" s="150"/>
      <c r="G21" s="149">
        <f t="shared" si="0"/>
        <v>0.15414999999999979</v>
      </c>
      <c r="H21" s="36"/>
      <c r="I21" s="24">
        <f t="shared" si="1"/>
        <v>0.53617567228462937</v>
      </c>
    </row>
    <row r="22" spans="1:9">
      <c r="A22" s="31">
        <f>+'Exhibit 4.1'!B22</f>
        <v>2000</v>
      </c>
      <c r="B22" s="36"/>
      <c r="C22" s="149">
        <f>SUMIFS('Exhibit 4.2'!L:L,'Exhibit 4.2'!A:A,$A22)</f>
        <v>1.7000000000000001E-2</v>
      </c>
      <c r="D22" s="149"/>
      <c r="E22" s="149">
        <f>SUMIFS('Exhibit 4.3'!G:G,'Exhibit 4.3'!A:A,$A22)</f>
        <v>7.0000000000000062E-2</v>
      </c>
      <c r="F22" s="150"/>
      <c r="G22" s="149">
        <f t="shared" si="0"/>
        <v>8.8189999999999991E-2</v>
      </c>
      <c r="H22" s="36"/>
      <c r="I22" s="24">
        <f t="shared" si="1"/>
        <v>0.49272247703491978</v>
      </c>
    </row>
    <row r="23" spans="1:9">
      <c r="A23" s="31">
        <f>+'Exhibit 4.1'!B23</f>
        <v>2001</v>
      </c>
      <c r="B23" s="36"/>
      <c r="C23" s="149">
        <f>SUMIFS('Exhibit 4.2'!L:L,'Exhibit 4.2'!A:A,$A23)</f>
        <v>2.8999999999999998E-2</v>
      </c>
      <c r="D23" s="149"/>
      <c r="E23" s="149">
        <f>SUMIFS('Exhibit 4.3'!G:G,'Exhibit 4.3'!A:A,$A23)</f>
        <v>6.6000000000000059E-2</v>
      </c>
      <c r="F23" s="150"/>
      <c r="G23" s="149">
        <f t="shared" si="0"/>
        <v>9.6913999999999945E-2</v>
      </c>
      <c r="H23" s="36"/>
      <c r="I23" s="24">
        <f t="shared" si="1"/>
        <v>0.44918970587933038</v>
      </c>
    </row>
    <row r="24" spans="1:9">
      <c r="A24" s="31">
        <f>+'Exhibit 4.1'!B24</f>
        <v>2002</v>
      </c>
      <c r="B24" s="36"/>
      <c r="C24" s="149">
        <f>SUMIFS('Exhibit 4.2'!L:L,'Exhibit 4.2'!A:A,$A24)</f>
        <v>0.02</v>
      </c>
      <c r="D24" s="149"/>
      <c r="E24" s="149">
        <f>SUMIFS('Exhibit 4.3'!G:G,'Exhibit 4.3'!A:A,$A24)</f>
        <v>-5.600000000000005E-2</v>
      </c>
      <c r="F24" s="150"/>
      <c r="G24" s="149">
        <f t="shared" si="0"/>
        <v>-3.7120000000000042E-2</v>
      </c>
      <c r="H24" s="36"/>
      <c r="I24" s="24">
        <f t="shared" si="1"/>
        <v>0.46650642435124873</v>
      </c>
    </row>
    <row r="25" spans="1:9">
      <c r="A25" s="31">
        <f>+'Exhibit 4.1'!B25</f>
        <v>2003</v>
      </c>
      <c r="B25" s="36"/>
      <c r="C25" s="149">
        <f>SUMIFS('Exhibit 4.2'!L:L,'Exhibit 4.2'!A:A,$A25)</f>
        <v>1.4E-2</v>
      </c>
      <c r="D25" s="149"/>
      <c r="E25" s="149">
        <f>SUMIFS('Exhibit 4.3'!G:G,'Exhibit 4.3'!A:A,$A25)</f>
        <v>-6.0000000000000053E-2</v>
      </c>
      <c r="F25" s="150"/>
      <c r="G25" s="149">
        <f t="shared" si="0"/>
        <v>-4.6839999999999993E-2</v>
      </c>
      <c r="H25" s="36"/>
      <c r="I25" s="24">
        <f t="shared" si="1"/>
        <v>0.48943139069122571</v>
      </c>
    </row>
    <row r="26" spans="1:9">
      <c r="A26" s="31">
        <f>+'Exhibit 4.1'!B26</f>
        <v>2004</v>
      </c>
      <c r="B26" s="36"/>
      <c r="C26" s="149">
        <f>SUMIFS('Exhibit 4.2'!L:L,'Exhibit 4.2'!A:A,$A26)</f>
        <v>0</v>
      </c>
      <c r="D26" s="149"/>
      <c r="E26" s="149">
        <f>SUMIFS('Exhibit 4.3'!G:G,'Exhibit 4.3'!A:A,$A26)</f>
        <v>-0.33850000000000002</v>
      </c>
      <c r="F26" s="150"/>
      <c r="G26" s="149">
        <f t="shared" si="0"/>
        <v>-0.33850000000000002</v>
      </c>
      <c r="H26" s="36"/>
      <c r="I26" s="24">
        <f t="shared" si="1"/>
        <v>0.73988116506610091</v>
      </c>
    </row>
    <row r="27" spans="1:9">
      <c r="A27" s="31">
        <f>+'Exhibit 4.1'!B27</f>
        <v>2005</v>
      </c>
      <c r="B27" s="36"/>
      <c r="C27" s="149">
        <f>SUMIFS('Exhibit 4.2'!L:L,'Exhibit 4.2'!A:A,$A27)</f>
        <v>0</v>
      </c>
      <c r="D27" s="149"/>
      <c r="E27" s="149">
        <f>SUMIFS('Exhibit 4.3'!G:G,'Exhibit 4.3'!A:A,$A27)</f>
        <v>-0.13900000000000001</v>
      </c>
      <c r="F27" s="150"/>
      <c r="G27" s="149">
        <f t="shared" si="0"/>
        <v>-0.13900000000000001</v>
      </c>
      <c r="H27" s="36"/>
      <c r="I27" s="24">
        <f t="shared" si="1"/>
        <v>0.85932771784680717</v>
      </c>
    </row>
    <row r="28" spans="1:9">
      <c r="A28" s="31">
        <f>+'Exhibit 4.1'!B28</f>
        <v>2006</v>
      </c>
      <c r="B28" s="36"/>
      <c r="C28" s="149">
        <f>SUMIFS('Exhibit 4.2'!L:L,'Exhibit 4.2'!A:A,$A28)</f>
        <v>3.0000000000000001E-3</v>
      </c>
      <c r="D28" s="149"/>
      <c r="E28" s="149">
        <f>SUMIFS('Exhibit 4.3'!G:G,'Exhibit 4.3'!A:A,$A28)</f>
        <v>-5.1052000000000097E-2</v>
      </c>
      <c r="F28" s="150"/>
      <c r="G28" s="149">
        <f t="shared" si="0"/>
        <v>-4.8205156000000193E-2</v>
      </c>
      <c r="H28" s="36"/>
      <c r="I28" s="24">
        <f t="shared" si="1"/>
        <v>0.9028497299222682</v>
      </c>
    </row>
    <row r="29" spans="1:9">
      <c r="A29" s="31">
        <f>+'Exhibit 4.1'!B29</f>
        <v>2007</v>
      </c>
      <c r="B29" s="36"/>
      <c r="C29" s="149">
        <f>SUMIFS('Exhibit 4.2'!L:L,'Exhibit 4.2'!A:A,$A29)</f>
        <v>1.8000000000000002E-2</v>
      </c>
      <c r="D29" s="149"/>
      <c r="E29" s="149">
        <f>SUMIFS('Exhibit 4.3'!G:G,'Exhibit 4.3'!A:A,$A29)</f>
        <v>9.9999999999988987E-4</v>
      </c>
      <c r="F29" s="150"/>
      <c r="G29" s="149">
        <f t="shared" si="0"/>
        <v>1.9017999999999979E-2</v>
      </c>
      <c r="H29" s="36"/>
      <c r="I29" s="24">
        <f t="shared" si="1"/>
        <v>0.88599978599226725</v>
      </c>
    </row>
    <row r="30" spans="1:9">
      <c r="A30" s="31">
        <f>+'Exhibit 4.1'!B30</f>
        <v>2008</v>
      </c>
      <c r="B30" s="36"/>
      <c r="C30" s="149">
        <f>SUMIFS('Exhibit 4.2'!L:L,'Exhibit 4.2'!A:A,$A30)</f>
        <v>2E-3</v>
      </c>
      <c r="D30" s="149"/>
      <c r="E30" s="149">
        <f>SUMIFS('Exhibit 4.3'!G:G,'Exhibit 4.3'!A:A,$A30)</f>
        <v>5.0059999999998439E-3</v>
      </c>
      <c r="F30" s="150"/>
      <c r="G30" s="149">
        <f t="shared" si="0"/>
        <v>7.0160119999997939E-3</v>
      </c>
      <c r="H30" s="36"/>
      <c r="I30" s="24">
        <f t="shared" si="1"/>
        <v>0.87982690983494261</v>
      </c>
    </row>
    <row r="31" spans="1:9">
      <c r="A31" s="31">
        <f>+'Exhibit 4.1'!B31</f>
        <v>2009</v>
      </c>
      <c r="B31" s="36"/>
      <c r="C31" s="149">
        <f>SUMIFS('Exhibit 4.2'!L:L,'Exhibit 4.2'!A:A,$A31)</f>
        <v>4.0000000000000001E-3</v>
      </c>
      <c r="D31" s="149"/>
      <c r="E31" s="149">
        <f>SUMIFS('Exhibit 4.3'!G:G,'Exhibit 4.3'!A:A,$A31)</f>
        <v>1.0000000000000009E-2</v>
      </c>
      <c r="F31" s="150"/>
      <c r="G31" s="149">
        <f t="shared" si="0"/>
        <v>1.4040000000000052E-2</v>
      </c>
      <c r="H31" s="36"/>
      <c r="I31" s="24">
        <f t="shared" si="1"/>
        <v>0.86764517162532306</v>
      </c>
    </row>
    <row r="32" spans="1:9">
      <c r="A32" s="31">
        <f>+'Exhibit 4.1'!B32</f>
        <v>2010</v>
      </c>
      <c r="B32" s="36"/>
      <c r="C32" s="149">
        <f>SUMIFS('Exhibit 4.2'!L:L,'Exhibit 4.2'!A:A,$A32)</f>
        <v>3.0000000000000001E-3</v>
      </c>
      <c r="D32" s="149"/>
      <c r="E32" s="149">
        <f>SUMIFS('Exhibit 4.3'!G:G,'Exhibit 4.3'!A:A,$A32)</f>
        <v>0</v>
      </c>
      <c r="F32" s="150"/>
      <c r="G32" s="149">
        <f t="shared" si="0"/>
        <v>2.9999999999998916E-3</v>
      </c>
      <c r="H32" s="36"/>
      <c r="I32" s="24">
        <f t="shared" si="1"/>
        <v>0.86505002156064126</v>
      </c>
    </row>
    <row r="33" spans="1:9">
      <c r="A33" s="31">
        <f>+'Exhibit 4.1'!B33</f>
        <v>2011</v>
      </c>
      <c r="B33" s="36"/>
      <c r="C33" s="149">
        <f>SUMIFS('Exhibit 4.2'!L:L,'Exhibit 4.2'!A:A,$A33)</f>
        <v>3.0000000000000001E-3</v>
      </c>
      <c r="D33" s="149"/>
      <c r="E33" s="149">
        <f>SUMIFS('Exhibit 4.3'!G:G,'Exhibit 4.3'!A:A,$A33)</f>
        <v>-2.0000000000000018E-2</v>
      </c>
      <c r="F33" s="150"/>
      <c r="G33" s="149">
        <f t="shared" si="0"/>
        <v>-1.7060000000000075E-2</v>
      </c>
      <c r="H33" s="36"/>
      <c r="I33" s="24">
        <f t="shared" si="1"/>
        <v>0.88006391189761468</v>
      </c>
    </row>
    <row r="34" spans="1:9">
      <c r="A34" s="31">
        <f>+'Exhibit 4.1'!B34</f>
        <v>2012</v>
      </c>
      <c r="B34" s="36"/>
      <c r="C34" s="149">
        <f>SUMIFS('Exhibit 4.2'!L:L,'Exhibit 4.2'!A:A,$A34)</f>
        <v>1E-3</v>
      </c>
      <c r="D34" s="149"/>
      <c r="E34" s="149">
        <f>SUMIFS('Exhibit 4.3'!G:G,'Exhibit 4.3'!A:A,$A34)</f>
        <v>-4.4000000000000039E-2</v>
      </c>
      <c r="F34" s="150"/>
      <c r="G34" s="149">
        <f t="shared" si="0"/>
        <v>-4.3044000000000193E-2</v>
      </c>
      <c r="H34" s="36"/>
      <c r="I34" s="24">
        <f t="shared" si="1"/>
        <v>0.91964929620339375</v>
      </c>
    </row>
    <row r="35" spans="1:9">
      <c r="A35" s="31">
        <f>+'Exhibit 4.1'!B35</f>
        <v>2013</v>
      </c>
      <c r="B35" s="36"/>
      <c r="C35" s="149">
        <f>SUMIFS('Exhibit 4.2'!L:L,'Exhibit 4.2'!A:A,$A35)</f>
        <v>4.9399999999999999E-2</v>
      </c>
      <c r="D35" s="149"/>
      <c r="E35" s="149">
        <f>SUMIFS('Exhibit 4.3'!G:G,'Exhibit 4.3'!A:A,$A35)</f>
        <v>-8.116599999999996E-2</v>
      </c>
      <c r="F35" s="150"/>
      <c r="G35" s="149">
        <f t="shared" si="0"/>
        <v>-3.5775600400000052E-2</v>
      </c>
      <c r="H35" s="36"/>
      <c r="I35" s="24">
        <f t="shared" si="1"/>
        <v>0.95377102735100072</v>
      </c>
    </row>
    <row r="36" spans="1:9">
      <c r="A36" s="31">
        <f>+'Exhibit 4.1'!B36</f>
        <v>2014</v>
      </c>
      <c r="B36" s="108"/>
      <c r="C36" s="149">
        <f>SUMIFS('Exhibit 4.2'!L:L,'Exhibit 4.2'!A:A,$A36)</f>
        <v>3.0000000000000001E-3</v>
      </c>
      <c r="D36" s="151"/>
      <c r="E36" s="149">
        <f>SUMIFS('Exhibit 4.3'!G:G,'Exhibit 4.3'!A:A,$A36)</f>
        <v>-4.7780000000000156E-2</v>
      </c>
      <c r="F36" s="152"/>
      <c r="G36" s="151">
        <f t="shared" si="0"/>
        <v>-4.4923340000000311E-2</v>
      </c>
      <c r="H36" s="108"/>
      <c r="I36" s="24">
        <f t="shared" si="1"/>
        <v>0.9986329551294878</v>
      </c>
    </row>
    <row r="37" spans="1:9">
      <c r="A37" s="31">
        <f>+'Exhibit 4.1'!B37</f>
        <v>2015</v>
      </c>
      <c r="B37" s="108"/>
      <c r="C37" s="149">
        <f>SUMIFS('Exhibit 4.2'!L:L,'Exhibit 4.2'!A:A,$A37)</f>
        <v>2E-3</v>
      </c>
      <c r="D37" s="151"/>
      <c r="E37" s="149">
        <f>SUMIFS('Exhibit 4.3'!G:G,'Exhibit 4.3'!A:A,$A37)</f>
        <v>-2.200000000000002E-2</v>
      </c>
      <c r="F37" s="152"/>
      <c r="G37" s="151">
        <f t="shared" si="0"/>
        <v>-2.0044000000000062E-2</v>
      </c>
      <c r="H37" s="108"/>
      <c r="I37" s="24">
        <f t="shared" si="1"/>
        <v>1.0190589731880695</v>
      </c>
    </row>
    <row r="38" spans="1:9">
      <c r="A38" s="31">
        <f>+'Exhibit 4.1'!B38</f>
        <v>2016</v>
      </c>
      <c r="B38" s="108"/>
      <c r="C38" s="149">
        <f>SUMIFS('Exhibit 4.2'!L:L,'Exhibit 4.2'!A:A,$A38)</f>
        <v>4.0000000000000001E-3</v>
      </c>
      <c r="D38" s="151"/>
      <c r="E38" s="149">
        <f>SUMIFS('Exhibit 4.3'!G:G,'Exhibit 4.3'!A:A,$A38)</f>
        <v>-7.0000000000000062E-3</v>
      </c>
      <c r="F38" s="152"/>
      <c r="G38" s="151">
        <f t="shared" si="0"/>
        <v>-3.0280000000000307E-3</v>
      </c>
      <c r="H38" s="108"/>
      <c r="I38" s="24">
        <f t="shared" si="1"/>
        <v>1.0221540556686342</v>
      </c>
    </row>
    <row r="39" spans="1:9">
      <c r="A39" s="31">
        <f>+'Exhibit 4.1'!B39</f>
        <v>2017</v>
      </c>
      <c r="B39" s="108"/>
      <c r="C39" s="149">
        <f>SUMIFS('Exhibit 4.2'!L:L,'Exhibit 4.2'!A:A,$A39)</f>
        <v>2E-3</v>
      </c>
      <c r="D39" s="151"/>
      <c r="E39" s="149">
        <f>SUMIFS('Exhibit 4.3'!G:G,'Exhibit 4.3'!A:A,$A39)</f>
        <v>-5.0000000000000044E-3</v>
      </c>
      <c r="F39" s="152"/>
      <c r="G39" s="151">
        <f t="shared" si="0"/>
        <v>-3.0099999999999572E-3</v>
      </c>
      <c r="H39" s="108"/>
      <c r="I39" s="24">
        <f t="shared" si="1"/>
        <v>1.0252400281533758</v>
      </c>
    </row>
    <row r="40" spans="1:9">
      <c r="A40" s="31">
        <f>+'Exhibit 4.1'!B40</f>
        <v>2018</v>
      </c>
      <c r="B40" s="108"/>
      <c r="C40" s="149">
        <f>SUMIFS('Exhibit 4.2'!L:L,'Exhibit 4.2'!A:A,$A40)</f>
        <v>2E-3</v>
      </c>
      <c r="D40" s="151"/>
      <c r="E40" s="149">
        <f>SUMIFS('Exhibit 4.3'!G:G,'Exhibit 4.3'!A:A,$A40)</f>
        <v>-3.0000000000000027E-3</v>
      </c>
      <c r="F40" s="152"/>
      <c r="G40" s="151">
        <f t="shared" si="0"/>
        <v>-1.0059999999999514E-3</v>
      </c>
      <c r="H40" s="108"/>
      <c r="I40" s="24">
        <f t="shared" si="1"/>
        <v>1.0262724582463716</v>
      </c>
    </row>
    <row r="41" spans="1:9" s="229" customFormat="1">
      <c r="A41" s="31">
        <f>+'Exhibit 4.1'!B41</f>
        <v>2019</v>
      </c>
      <c r="B41" s="108"/>
      <c r="C41" s="149">
        <f>SUMIFS('Exhibit 4.2'!L:L,'Exhibit 4.2'!A:A,$A41)</f>
        <v>4.0000000000000001E-3</v>
      </c>
      <c r="D41" s="151"/>
      <c r="E41" s="149">
        <f>SUMIFS('Exhibit 4.3'!G:G,'Exhibit 4.3'!A:A,$A41)</f>
        <v>0</v>
      </c>
      <c r="F41" s="152"/>
      <c r="G41" s="151">
        <f t="shared" ref="G41" si="2">(C41+1)*(1+E41)-1</f>
        <v>4.0000000000000036E-3</v>
      </c>
      <c r="H41" s="108"/>
      <c r="I41" s="24">
        <f t="shared" si="1"/>
        <v>1.0221837233529598</v>
      </c>
    </row>
    <row r="42" spans="1:9" s="131" customFormat="1">
      <c r="A42" s="31">
        <f>+'Exhibit 4.1'!B42</f>
        <v>2020</v>
      </c>
      <c r="B42" s="108"/>
      <c r="C42" s="149">
        <f>SUMIFS('Exhibit 4.2'!L:L,'Exhibit 4.2'!A:A,$A42)</f>
        <v>4.0000000000000001E-3</v>
      </c>
      <c r="D42" s="151"/>
      <c r="E42" s="149">
        <f>SUMIFS('Exhibit 4.3'!G:G,'Exhibit 4.3'!A:A,$A42)</f>
        <v>0</v>
      </c>
      <c r="F42" s="152"/>
      <c r="G42" s="151">
        <f t="shared" ref="G42" si="3">(C42+1)*(1+E42)-1</f>
        <v>4.0000000000000036E-3</v>
      </c>
      <c r="H42" s="108"/>
      <c r="I42" s="24">
        <f t="shared" si="1"/>
        <v>1.0181112782399999</v>
      </c>
    </row>
    <row r="43" spans="1:9" s="135" customFormat="1">
      <c r="A43" s="31">
        <f>+'Exhibit 4.1'!B43</f>
        <v>2021</v>
      </c>
      <c r="B43" s="108"/>
      <c r="C43" s="149">
        <f>SUMIFS('Exhibit 4.2'!L:L,'Exhibit 4.2'!A:A,$A43)</f>
        <v>2E-3</v>
      </c>
      <c r="D43" s="151"/>
      <c r="E43" s="149">
        <f>SUMIFS('Exhibit 4.3'!G:G,'Exhibit 4.3'!A:A,$A43)</f>
        <v>0</v>
      </c>
      <c r="F43" s="152"/>
      <c r="G43" s="151">
        <f t="shared" ref="G43:G45" si="4">(C43+1)*(1+E43)-1</f>
        <v>2.0000000000000018E-3</v>
      </c>
      <c r="H43" s="108"/>
      <c r="I43" s="24">
        <f t="shared" si="1"/>
        <v>1.0160791199999999</v>
      </c>
    </row>
    <row r="44" spans="1:9" s="229" customFormat="1">
      <c r="A44" s="31">
        <f>+'Exhibit 4.1'!B44</f>
        <v>2022</v>
      </c>
      <c r="B44" s="108"/>
      <c r="C44" s="149">
        <f>SUMIFS('Exhibit 4.2'!L:L,'Exhibit 4.2'!A:A,$A44)</f>
        <v>8.0000000000000002E-3</v>
      </c>
      <c r="D44" s="151"/>
      <c r="E44" s="149">
        <f>SUMIFS('Exhibit 4.3'!G:G,'Exhibit 4.3'!A:A,$A44)</f>
        <v>0</v>
      </c>
      <c r="F44" s="152"/>
      <c r="G44" s="151">
        <f t="shared" si="4"/>
        <v>8.0000000000000071E-3</v>
      </c>
      <c r="H44" s="108"/>
      <c r="I44" s="24">
        <f t="shared" si="1"/>
        <v>1.0080149999999999</v>
      </c>
    </row>
    <row r="45" spans="1:9" s="173" customFormat="1">
      <c r="A45" s="31">
        <f>+'Exhibit 4.1'!B45</f>
        <v>2023</v>
      </c>
      <c r="B45" s="108"/>
      <c r="C45" s="149">
        <f>SUMIFS('Exhibit 4.2'!L:L,'Exhibit 4.2'!A:A,$A45)</f>
        <v>5.0000000000000001E-3</v>
      </c>
      <c r="D45" s="151"/>
      <c r="E45" s="149">
        <f>SUMIFS('Exhibit 4.3'!G:G,'Exhibit 4.3'!A:A,$A45)</f>
        <v>0</v>
      </c>
      <c r="F45" s="152"/>
      <c r="G45" s="151">
        <f t="shared" si="4"/>
        <v>4.9999999999998934E-3</v>
      </c>
      <c r="H45" s="108"/>
      <c r="I45" s="364">
        <f>(1+G47)*(1+G46)</f>
        <v>1.0029999999999999</v>
      </c>
    </row>
    <row r="46" spans="1:9" s="211" customFormat="1">
      <c r="A46" s="31">
        <f>+'Exhibit 4.1'!B46</f>
        <v>2024</v>
      </c>
      <c r="B46" s="108"/>
      <c r="C46" s="149">
        <f>SUMIFS('Exhibit 4.2'!L:L,'Exhibit 4.2'!A:A,$A46)</f>
        <v>3.0000000000000001E-3</v>
      </c>
      <c r="D46" s="151"/>
      <c r="E46" s="149">
        <f>SUMIFS('Exhibit 4.3'!G:G,'Exhibit 4.3'!A:A,$A46)</f>
        <v>0</v>
      </c>
      <c r="F46" s="152"/>
      <c r="G46" s="151">
        <f t="shared" ref="G46" si="5">(C46+1)*(1+E46)-1</f>
        <v>2.9999999999998916E-3</v>
      </c>
      <c r="H46" s="108"/>
      <c r="I46" s="160"/>
    </row>
    <row r="47" spans="1:9">
      <c r="A47" s="45" t="str">
        <f>+'Exhibit 4.1'!B47</f>
        <v>9/1/2024</v>
      </c>
      <c r="B47" s="108"/>
      <c r="C47" s="149">
        <f>SUMIFS('Exhibit 4.2'!L:L,'Exhibit 4.2'!A:A,$A47)</f>
        <v>0</v>
      </c>
      <c r="D47" s="152"/>
      <c r="E47" s="149">
        <f>SUMIFS('Exhibit 4.3'!G:G,'Exhibit 4.3'!A:A,$A47)</f>
        <v>0</v>
      </c>
      <c r="F47" s="152"/>
      <c r="G47" s="151">
        <f t="shared" si="0"/>
        <v>0</v>
      </c>
      <c r="H47" s="108"/>
      <c r="I47" s="155"/>
    </row>
    <row r="48" spans="1:9">
      <c r="A48" s="31"/>
      <c r="B48" s="108"/>
      <c r="C48" s="108"/>
      <c r="D48" s="108"/>
      <c r="E48" s="108"/>
      <c r="F48" s="108"/>
      <c r="G48" s="108"/>
      <c r="H48" s="108"/>
      <c r="I48" s="108"/>
    </row>
    <row r="49" spans="1:9">
      <c r="A49" s="32" t="s">
        <v>22</v>
      </c>
      <c r="B49" s="154" t="s">
        <v>121</v>
      </c>
      <c r="C49" s="59"/>
      <c r="D49" s="59"/>
      <c r="E49" s="59"/>
      <c r="F49" s="59"/>
      <c r="G49" s="59"/>
      <c r="H49" s="59"/>
      <c r="I49" s="59"/>
    </row>
    <row r="50" spans="1:9">
      <c r="A50" s="32" t="s">
        <v>28</v>
      </c>
      <c r="B50" s="154" t="s">
        <v>122</v>
      </c>
      <c r="C50" s="59"/>
      <c r="D50" s="59"/>
      <c r="E50" s="59"/>
      <c r="F50" s="59"/>
      <c r="G50" s="59"/>
      <c r="H50" s="59"/>
      <c r="I50" s="59"/>
    </row>
    <row r="51" spans="1:9">
      <c r="A51" s="32" t="s">
        <v>38</v>
      </c>
      <c r="B51" s="154" t="s">
        <v>123</v>
      </c>
      <c r="C51" s="59"/>
      <c r="D51" s="59"/>
      <c r="E51" s="59"/>
      <c r="F51" s="59"/>
      <c r="G51" s="59"/>
      <c r="H51" s="59"/>
      <c r="I51" s="59"/>
    </row>
    <row r="52" spans="1:9">
      <c r="A52" s="153" t="s">
        <v>57</v>
      </c>
      <c r="B52" s="154" t="s">
        <v>498</v>
      </c>
      <c r="C52" s="59"/>
      <c r="D52" s="59"/>
      <c r="E52" s="59"/>
      <c r="F52" s="59"/>
      <c r="G52" s="59"/>
      <c r="H52" s="59"/>
      <c r="I52" s="59"/>
    </row>
    <row r="53" spans="1:9">
      <c r="A53" s="153"/>
      <c r="B53" s="36"/>
      <c r="C53" s="36"/>
      <c r="D53" s="36"/>
      <c r="E53" s="36"/>
      <c r="F53" s="36"/>
      <c r="G53" s="36"/>
      <c r="H53" s="36"/>
    </row>
    <row r="54" spans="1:9">
      <c r="A54" s="36"/>
      <c r="B54" s="36"/>
      <c r="C54" s="36"/>
      <c r="D54" s="36"/>
      <c r="E54" s="36"/>
      <c r="F54" s="36"/>
      <c r="G54" s="36"/>
      <c r="H54" s="36"/>
    </row>
  </sheetData>
  <printOptions horizontalCentered="1"/>
  <pageMargins left="0.5" right="0.5" top="0.75" bottom="0.75" header="0.33" footer="0.33"/>
  <pageSetup orientation="portrait" blackAndWhite="1" r:id="rId1"/>
  <headerFooter scaleWithDoc="0">
    <oddHeader>&amp;R&amp;"Arial,Regular"&amp;10Exhibit 4.4</oddHeader>
  </headerFooter>
  <ignoredErrors>
    <ignoredError sqref="C3:I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I55"/>
  <sheetViews>
    <sheetView zoomScaleNormal="100" zoomScaleSheetLayoutView="100" workbookViewId="0"/>
  </sheetViews>
  <sheetFormatPr defaultColWidth="9.1796875" defaultRowHeight="12.5"/>
  <cols>
    <col min="1" max="1" width="12.81640625" style="56" customWidth="1"/>
    <col min="2" max="2" width="7.81640625" style="56" customWidth="1"/>
    <col min="3" max="3" width="12.81640625" style="56" customWidth="1"/>
    <col min="4" max="4" width="12.81640625" style="56" bestFit="1" customWidth="1"/>
    <col min="5" max="5" width="12.81640625" style="56" customWidth="1"/>
    <col min="6" max="6" width="12.81640625" style="56" bestFit="1" customWidth="1"/>
    <col min="7" max="7" width="17.81640625" style="56" customWidth="1"/>
    <col min="8" max="16384" width="9.1796875" style="56"/>
  </cols>
  <sheetData>
    <row r="1" spans="1:9" ht="13">
      <c r="A1" s="136" t="s">
        <v>124</v>
      </c>
      <c r="B1" s="136"/>
      <c r="C1" s="136"/>
      <c r="D1" s="136"/>
      <c r="E1" s="136"/>
      <c r="F1" s="136"/>
      <c r="G1" s="136"/>
      <c r="H1" s="57"/>
      <c r="I1" s="57"/>
    </row>
    <row r="2" spans="1:9">
      <c r="A2" s="269"/>
      <c r="B2" s="269"/>
      <c r="C2" s="269"/>
      <c r="D2" s="269"/>
      <c r="E2" s="270"/>
      <c r="F2" s="269"/>
      <c r="G2" s="270"/>
      <c r="H2" s="57"/>
      <c r="I2" s="57"/>
    </row>
    <row r="3" spans="1:9">
      <c r="A3" s="269"/>
      <c r="B3" s="269"/>
      <c r="C3" s="269"/>
      <c r="D3" s="269"/>
      <c r="E3" s="270"/>
      <c r="F3" s="269"/>
      <c r="G3" s="270"/>
      <c r="H3" s="57"/>
      <c r="I3" s="57"/>
    </row>
    <row r="4" spans="1:9">
      <c r="A4" s="269"/>
      <c r="B4" s="269"/>
      <c r="C4" s="269"/>
      <c r="D4" s="269"/>
      <c r="E4" s="270"/>
      <c r="F4" s="269"/>
      <c r="G4" s="270"/>
      <c r="H4" s="57"/>
      <c r="I4" s="57"/>
    </row>
    <row r="5" spans="1:9">
      <c r="A5" s="269"/>
      <c r="B5" s="269"/>
      <c r="C5" s="269"/>
      <c r="D5" s="269"/>
      <c r="E5" s="270"/>
      <c r="F5" s="269"/>
      <c r="G5" s="270"/>
      <c r="H5" s="57"/>
      <c r="I5" s="57"/>
    </row>
    <row r="6" spans="1:9">
      <c r="A6" s="269"/>
      <c r="B6" s="269"/>
      <c r="C6" s="32" t="s">
        <v>45</v>
      </c>
      <c r="D6" s="32"/>
      <c r="E6" s="32" t="s">
        <v>46</v>
      </c>
      <c r="F6" s="31"/>
      <c r="G6" s="32" t="s">
        <v>47</v>
      </c>
      <c r="H6" s="57"/>
      <c r="I6" s="57"/>
    </row>
    <row r="7" spans="1:9">
      <c r="A7" s="269"/>
      <c r="B7" s="269"/>
      <c r="C7" s="32"/>
      <c r="D7" s="32"/>
      <c r="E7" s="32" t="s">
        <v>52</v>
      </c>
      <c r="F7" s="31"/>
      <c r="G7" s="23" t="s">
        <v>82</v>
      </c>
      <c r="H7" s="57"/>
      <c r="I7" s="57"/>
    </row>
    <row r="8" spans="1:9">
      <c r="A8" s="31"/>
      <c r="B8" s="341"/>
      <c r="C8" s="96" t="s">
        <v>125</v>
      </c>
      <c r="D8" s="341"/>
      <c r="E8" s="96" t="s">
        <v>125</v>
      </c>
      <c r="F8" s="341"/>
      <c r="G8" s="23" t="str">
        <f>TEXT($A$50,"m/d/yyyy")</f>
        <v>9/1/2024</v>
      </c>
      <c r="H8" s="57"/>
      <c r="I8" s="57"/>
    </row>
    <row r="9" spans="1:9">
      <c r="A9" s="33" t="s">
        <v>8</v>
      </c>
      <c r="B9" s="340"/>
      <c r="C9" s="271" t="s">
        <v>341</v>
      </c>
      <c r="D9" s="340"/>
      <c r="E9" s="271" t="s">
        <v>425</v>
      </c>
      <c r="F9" s="340"/>
      <c r="G9" s="268" t="s">
        <v>426</v>
      </c>
      <c r="H9" s="57"/>
      <c r="I9" s="57"/>
    </row>
    <row r="10" spans="1:9">
      <c r="A10" s="31">
        <v>1987</v>
      </c>
      <c r="B10" s="340"/>
      <c r="C10" s="449">
        <v>5.6000000000000005</v>
      </c>
      <c r="D10" s="340"/>
      <c r="E10" s="162"/>
      <c r="F10" s="340"/>
      <c r="G10" s="24">
        <f t="shared" ref="G10:G41" si="0">G11*(1+C11/100)</f>
        <v>3.7428684366784881</v>
      </c>
      <c r="H10" s="57"/>
      <c r="I10" s="57"/>
    </row>
    <row r="11" spans="1:9">
      <c r="A11" s="31">
        <f>A10+1</f>
        <v>1988</v>
      </c>
      <c r="B11" s="190"/>
      <c r="C11" s="449">
        <v>4.3999999999999995</v>
      </c>
      <c r="D11" s="190"/>
      <c r="E11" s="162"/>
      <c r="F11" s="341"/>
      <c r="G11" s="24">
        <f t="shared" si="0"/>
        <v>3.5851230236383986</v>
      </c>
      <c r="H11" s="57"/>
      <c r="I11" s="64"/>
    </row>
    <row r="12" spans="1:9">
      <c r="A12" s="31">
        <f t="shared" ref="A12:A45" si="1">A11+1</f>
        <v>1989</v>
      </c>
      <c r="B12" s="190"/>
      <c r="C12" s="449">
        <v>4.3</v>
      </c>
      <c r="D12" s="190"/>
      <c r="E12" s="162"/>
      <c r="F12" s="341"/>
      <c r="G12" s="24">
        <f t="shared" si="0"/>
        <v>3.4373183352237766</v>
      </c>
      <c r="H12" s="57"/>
      <c r="I12" s="64"/>
    </row>
    <row r="13" spans="1:9">
      <c r="A13" s="31">
        <f t="shared" si="1"/>
        <v>1990</v>
      </c>
      <c r="B13" s="190"/>
      <c r="C13" s="449">
        <v>5</v>
      </c>
      <c r="D13" s="190"/>
      <c r="E13" s="162"/>
      <c r="F13" s="341"/>
      <c r="G13" s="24">
        <f t="shared" si="0"/>
        <v>3.2736365097369298</v>
      </c>
      <c r="H13" s="57"/>
      <c r="I13" s="64"/>
    </row>
    <row r="14" spans="1:9">
      <c r="A14" s="31">
        <f t="shared" si="1"/>
        <v>1991</v>
      </c>
      <c r="B14" s="190"/>
      <c r="C14" s="449">
        <v>2.2999999999999998</v>
      </c>
      <c r="D14" s="190"/>
      <c r="E14" s="162"/>
      <c r="F14" s="341"/>
      <c r="G14" s="24">
        <f t="shared" si="0"/>
        <v>3.2000356888924046</v>
      </c>
      <c r="H14" s="57"/>
      <c r="I14" s="64"/>
    </row>
    <row r="15" spans="1:9">
      <c r="A15" s="31">
        <f t="shared" si="1"/>
        <v>1992</v>
      </c>
      <c r="B15" s="190"/>
      <c r="C15" s="449">
        <v>4.7</v>
      </c>
      <c r="D15" s="190"/>
      <c r="E15" s="162"/>
      <c r="F15" s="341"/>
      <c r="G15" s="24">
        <f t="shared" si="0"/>
        <v>3.0563855672324785</v>
      </c>
      <c r="H15" s="57"/>
      <c r="I15" s="64"/>
    </row>
    <row r="16" spans="1:9">
      <c r="A16" s="31">
        <f t="shared" si="1"/>
        <v>1993</v>
      </c>
      <c r="B16" s="190"/>
      <c r="C16" s="449">
        <v>1.2</v>
      </c>
      <c r="D16" s="190"/>
      <c r="E16" s="162"/>
      <c r="F16" s="341"/>
      <c r="G16" s="24">
        <f t="shared" si="0"/>
        <v>3.0201438411388128</v>
      </c>
      <c r="H16" s="57"/>
      <c r="I16" s="64"/>
    </row>
    <row r="17" spans="1:9">
      <c r="A17" s="31">
        <f t="shared" si="1"/>
        <v>1994</v>
      </c>
      <c r="B17" s="190"/>
      <c r="C17" s="449">
        <v>1.7999999999999998</v>
      </c>
      <c r="D17" s="190"/>
      <c r="E17" s="162"/>
      <c r="F17" s="341"/>
      <c r="G17" s="24">
        <f t="shared" si="0"/>
        <v>2.9667424765607198</v>
      </c>
      <c r="H17" s="57"/>
      <c r="I17" s="64"/>
    </row>
    <row r="18" spans="1:9">
      <c r="A18" s="31">
        <f t="shared" si="1"/>
        <v>1995</v>
      </c>
      <c r="B18" s="190"/>
      <c r="C18" s="449">
        <v>2.9000000000000004</v>
      </c>
      <c r="D18" s="190"/>
      <c r="E18" s="162"/>
      <c r="F18" s="341"/>
      <c r="G18" s="24">
        <f t="shared" si="0"/>
        <v>2.8831316584652282</v>
      </c>
      <c r="H18" s="57"/>
      <c r="I18" s="64"/>
    </row>
    <row r="19" spans="1:9">
      <c r="A19" s="31">
        <f t="shared" si="1"/>
        <v>1996</v>
      </c>
      <c r="B19" s="190"/>
      <c r="C19" s="449">
        <v>3.4000000000000004</v>
      </c>
      <c r="D19" s="190"/>
      <c r="E19" s="162"/>
      <c r="F19" s="341"/>
      <c r="G19" s="24">
        <f t="shared" si="0"/>
        <v>2.7883284898116325</v>
      </c>
      <c r="H19" s="57"/>
      <c r="I19" s="64"/>
    </row>
    <row r="20" spans="1:9">
      <c r="A20" s="31">
        <f t="shared" si="1"/>
        <v>1997</v>
      </c>
      <c r="B20" s="190"/>
      <c r="C20" s="449">
        <v>4.7</v>
      </c>
      <c r="D20" s="190"/>
      <c r="E20" s="162"/>
      <c r="F20" s="341"/>
      <c r="G20" s="24">
        <f t="shared" si="0"/>
        <v>2.6631599711667935</v>
      </c>
      <c r="H20" s="57"/>
      <c r="I20" s="64"/>
    </row>
    <row r="21" spans="1:9">
      <c r="A21" s="31">
        <f t="shared" si="1"/>
        <v>1998</v>
      </c>
      <c r="B21" s="190"/>
      <c r="C21" s="449">
        <v>5.2</v>
      </c>
      <c r="D21" s="190"/>
      <c r="E21" s="162"/>
      <c r="F21" s="341"/>
      <c r="G21" s="24">
        <f t="shared" si="0"/>
        <v>2.5315208851395372</v>
      </c>
      <c r="H21" s="57"/>
      <c r="I21" s="64"/>
    </row>
    <row r="22" spans="1:9">
      <c r="A22" s="31">
        <f t="shared" si="1"/>
        <v>1999</v>
      </c>
      <c r="B22" s="190"/>
      <c r="C22" s="449">
        <v>6.2</v>
      </c>
      <c r="D22" s="190"/>
      <c r="E22" s="162"/>
      <c r="F22" s="341"/>
      <c r="G22" s="24">
        <f t="shared" si="0"/>
        <v>2.3837296470240461</v>
      </c>
      <c r="H22" s="57"/>
      <c r="I22" s="64"/>
    </row>
    <row r="23" spans="1:9">
      <c r="A23" s="31">
        <f t="shared" si="1"/>
        <v>2000</v>
      </c>
      <c r="B23" s="190"/>
      <c r="C23" s="449">
        <v>9</v>
      </c>
      <c r="D23" s="190"/>
      <c r="E23" s="162"/>
      <c r="F23" s="341"/>
      <c r="G23" s="24">
        <f t="shared" si="0"/>
        <v>2.1869079330495835</v>
      </c>
      <c r="H23" s="57"/>
      <c r="I23" s="64"/>
    </row>
    <row r="24" spans="1:9">
      <c r="A24" s="31">
        <f t="shared" si="1"/>
        <v>2001</v>
      </c>
      <c r="B24" s="190"/>
      <c r="C24" s="449">
        <v>0.6</v>
      </c>
      <c r="D24" s="190"/>
      <c r="E24" s="162"/>
      <c r="F24" s="341"/>
      <c r="G24" s="24">
        <f t="shared" si="0"/>
        <v>2.1738647445820911</v>
      </c>
      <c r="H24" s="57"/>
      <c r="I24" s="64"/>
    </row>
    <row r="25" spans="1:9">
      <c r="A25" s="31">
        <f t="shared" si="1"/>
        <v>2002</v>
      </c>
      <c r="B25" s="190"/>
      <c r="C25" s="449">
        <v>1.0999999999999999</v>
      </c>
      <c r="D25" s="190"/>
      <c r="E25" s="162"/>
      <c r="F25" s="341"/>
      <c r="G25" s="24">
        <f t="shared" si="0"/>
        <v>2.1502124080930676</v>
      </c>
      <c r="H25" s="57"/>
      <c r="I25" s="64"/>
    </row>
    <row r="26" spans="1:9">
      <c r="A26" s="31">
        <f t="shared" si="1"/>
        <v>2003</v>
      </c>
      <c r="B26" s="190"/>
      <c r="C26" s="449">
        <v>3.5999999999999996</v>
      </c>
      <c r="D26" s="190"/>
      <c r="E26" s="162"/>
      <c r="F26" s="341"/>
      <c r="G26" s="24">
        <f t="shared" si="0"/>
        <v>2.0754946024064358</v>
      </c>
      <c r="H26" s="57"/>
      <c r="I26" s="64"/>
    </row>
    <row r="27" spans="1:9">
      <c r="A27" s="31">
        <f t="shared" si="1"/>
        <v>2004</v>
      </c>
      <c r="B27" s="190"/>
      <c r="C27" s="449">
        <v>5</v>
      </c>
      <c r="D27" s="190"/>
      <c r="E27" s="162"/>
      <c r="F27" s="341"/>
      <c r="G27" s="24">
        <f t="shared" si="0"/>
        <v>1.9766615261013674</v>
      </c>
      <c r="H27" s="57"/>
      <c r="I27" s="64"/>
    </row>
    <row r="28" spans="1:9">
      <c r="A28" s="31">
        <f t="shared" si="1"/>
        <v>2005</v>
      </c>
      <c r="B28" s="190"/>
      <c r="C28" s="449">
        <v>3.2</v>
      </c>
      <c r="D28" s="190"/>
      <c r="E28" s="162"/>
      <c r="F28" s="341"/>
      <c r="G28" s="24">
        <f t="shared" si="0"/>
        <v>1.9153696958346582</v>
      </c>
      <c r="H28" s="57"/>
      <c r="I28" s="64"/>
    </row>
    <row r="29" spans="1:9">
      <c r="A29" s="31">
        <f t="shared" si="1"/>
        <v>2006</v>
      </c>
      <c r="B29" s="190"/>
      <c r="C29" s="449">
        <v>4.5999999999999996</v>
      </c>
      <c r="D29" s="190"/>
      <c r="E29" s="162"/>
      <c r="F29" s="341"/>
      <c r="G29" s="24">
        <f t="shared" si="0"/>
        <v>1.8311373765149694</v>
      </c>
      <c r="H29" s="57"/>
      <c r="I29" s="64"/>
    </row>
    <row r="30" spans="1:9">
      <c r="A30" s="31">
        <f t="shared" si="1"/>
        <v>2007</v>
      </c>
      <c r="B30" s="190"/>
      <c r="C30" s="449">
        <v>4.5</v>
      </c>
      <c r="D30" s="190"/>
      <c r="E30" s="162"/>
      <c r="F30" s="341"/>
      <c r="G30" s="24">
        <f t="shared" si="0"/>
        <v>1.7522845708277222</v>
      </c>
      <c r="H30" s="57"/>
      <c r="I30" s="64"/>
    </row>
    <row r="31" spans="1:9">
      <c r="A31" s="31">
        <f t="shared" si="1"/>
        <v>2008</v>
      </c>
      <c r="B31" s="190"/>
      <c r="C31" s="449">
        <v>2.1</v>
      </c>
      <c r="D31" s="190"/>
      <c r="E31" s="162"/>
      <c r="F31" s="341"/>
      <c r="G31" s="24">
        <f t="shared" si="0"/>
        <v>1.7162434582054087</v>
      </c>
      <c r="H31" s="57"/>
      <c r="I31" s="64"/>
    </row>
    <row r="32" spans="1:9">
      <c r="A32" s="31">
        <f t="shared" si="1"/>
        <v>2009</v>
      </c>
      <c r="B32" s="190"/>
      <c r="C32" s="449">
        <v>0.5</v>
      </c>
      <c r="D32" s="190"/>
      <c r="E32" s="162"/>
      <c r="F32" s="341"/>
      <c r="G32" s="24">
        <f t="shared" si="0"/>
        <v>1.7077049335377203</v>
      </c>
      <c r="H32" s="57"/>
      <c r="I32" s="64"/>
    </row>
    <row r="33" spans="1:9">
      <c r="A33" s="31">
        <f t="shared" si="1"/>
        <v>2010</v>
      </c>
      <c r="B33" s="190"/>
      <c r="C33" s="449">
        <v>3</v>
      </c>
      <c r="D33" s="190"/>
      <c r="E33" s="162"/>
      <c r="F33" s="341"/>
      <c r="G33" s="24">
        <f t="shared" si="0"/>
        <v>1.6579659548909906</v>
      </c>
      <c r="H33" s="57"/>
      <c r="I33" s="64"/>
    </row>
    <row r="34" spans="1:9">
      <c r="A34" s="31">
        <f t="shared" si="1"/>
        <v>2011</v>
      </c>
      <c r="B34" s="190"/>
      <c r="C34" s="449">
        <v>3.1</v>
      </c>
      <c r="D34" s="190"/>
      <c r="E34" s="162"/>
      <c r="F34" s="341"/>
      <c r="G34" s="24">
        <f t="shared" si="0"/>
        <v>1.6081144082356846</v>
      </c>
      <c r="H34" s="57"/>
      <c r="I34" s="64"/>
    </row>
    <row r="35" spans="1:9">
      <c r="A35" s="31">
        <f t="shared" si="1"/>
        <v>2012</v>
      </c>
      <c r="B35" s="190"/>
      <c r="C35" s="449">
        <v>4.2</v>
      </c>
      <c r="D35" s="190"/>
      <c r="E35" s="162"/>
      <c r="F35" s="341"/>
      <c r="G35" s="24">
        <f t="shared" si="0"/>
        <v>1.5432959771935553</v>
      </c>
      <c r="H35" s="57"/>
      <c r="I35" s="64"/>
    </row>
    <row r="36" spans="1:9">
      <c r="A36" s="31">
        <f t="shared" si="1"/>
        <v>2013</v>
      </c>
      <c r="B36" s="190"/>
      <c r="C36" s="449">
        <v>0.70000000000000007</v>
      </c>
      <c r="D36" s="190"/>
      <c r="E36" s="162"/>
      <c r="F36" s="341"/>
      <c r="G36" s="24">
        <f t="shared" si="0"/>
        <v>1.5325680011852587</v>
      </c>
      <c r="H36" s="57"/>
      <c r="I36" s="64"/>
    </row>
    <row r="37" spans="1:9">
      <c r="A37" s="31">
        <f t="shared" si="1"/>
        <v>2014</v>
      </c>
      <c r="B37" s="190"/>
      <c r="C37" s="449">
        <v>3.3000000000000003</v>
      </c>
      <c r="D37" s="190"/>
      <c r="E37" s="162"/>
      <c r="F37" s="341"/>
      <c r="G37" s="24">
        <f t="shared" si="0"/>
        <v>1.4836089072461363</v>
      </c>
      <c r="H37" s="57"/>
      <c r="I37" s="64"/>
    </row>
    <row r="38" spans="1:9">
      <c r="A38" s="31">
        <f t="shared" si="1"/>
        <v>2015</v>
      </c>
      <c r="B38" s="190"/>
      <c r="C38" s="449">
        <v>4.5</v>
      </c>
      <c r="D38" s="190"/>
      <c r="E38" s="162"/>
      <c r="F38" s="341"/>
      <c r="G38" s="24">
        <f t="shared" si="0"/>
        <v>1.4197214423408004</v>
      </c>
      <c r="H38" s="57"/>
      <c r="I38" s="64"/>
    </row>
    <row r="39" spans="1:9">
      <c r="A39" s="31">
        <f t="shared" si="1"/>
        <v>2016</v>
      </c>
      <c r="B39" s="190"/>
      <c r="C39" s="449">
        <v>1.9</v>
      </c>
      <c r="D39" s="190"/>
      <c r="E39" s="162"/>
      <c r="F39" s="341"/>
      <c r="G39" s="24">
        <f t="shared" si="0"/>
        <v>1.3932496980773312</v>
      </c>
      <c r="H39" s="57"/>
      <c r="I39" s="64"/>
    </row>
    <row r="40" spans="1:9">
      <c r="A40" s="31">
        <f t="shared" si="1"/>
        <v>2017</v>
      </c>
      <c r="B40" s="190"/>
      <c r="C40" s="449">
        <v>4.3999999999999995</v>
      </c>
      <c r="D40" s="190"/>
      <c r="E40" s="162"/>
      <c r="F40" s="341"/>
      <c r="G40" s="24">
        <f t="shared" si="0"/>
        <v>1.3345303621430376</v>
      </c>
      <c r="H40" s="57"/>
      <c r="I40" s="64"/>
    </row>
    <row r="41" spans="1:9">
      <c r="A41" s="31">
        <f t="shared" si="1"/>
        <v>2018</v>
      </c>
      <c r="B41" s="190"/>
      <c r="C41" s="449">
        <v>3.6999999999999997</v>
      </c>
      <c r="D41" s="190"/>
      <c r="E41" s="162"/>
      <c r="F41" s="341"/>
      <c r="G41" s="24">
        <f t="shared" si="0"/>
        <v>1.286914524728098</v>
      </c>
      <c r="H41" s="57"/>
      <c r="I41" s="64"/>
    </row>
    <row r="42" spans="1:9">
      <c r="A42" s="31">
        <f t="shared" si="1"/>
        <v>2019</v>
      </c>
      <c r="B42" s="190"/>
      <c r="C42" s="449">
        <v>4.3999999999999995</v>
      </c>
      <c r="D42" s="190"/>
      <c r="E42" s="162"/>
      <c r="F42" s="341"/>
      <c r="G42" s="364">
        <f>G43*(1+E43/100)</f>
        <v>1.2326767478238485</v>
      </c>
      <c r="H42" s="57"/>
      <c r="I42" s="64"/>
    </row>
    <row r="43" spans="1:9">
      <c r="A43" s="31">
        <f t="shared" si="1"/>
        <v>2020</v>
      </c>
      <c r="B43" s="190"/>
      <c r="C43" s="449">
        <v>11.3</v>
      </c>
      <c r="D43" s="190"/>
      <c r="E43" s="449">
        <v>4.8899999999999997</v>
      </c>
      <c r="F43" s="341"/>
      <c r="G43" s="364">
        <f>G44*(1+E44/100)</f>
        <v>1.1752090264313553</v>
      </c>
      <c r="H43" s="57"/>
      <c r="I43" s="64"/>
    </row>
    <row r="44" spans="1:9">
      <c r="A44" s="31">
        <f t="shared" si="1"/>
        <v>2021</v>
      </c>
      <c r="B44" s="190"/>
      <c r="C44" s="449">
        <v>7.7</v>
      </c>
      <c r="D44" s="190"/>
      <c r="E44" s="449">
        <v>6.3</v>
      </c>
      <c r="F44" s="377"/>
      <c r="G44" s="364">
        <f>G45*(1+E45/100)</f>
        <v>1.1055588207256399</v>
      </c>
      <c r="H44" s="57"/>
      <c r="I44" s="64"/>
    </row>
    <row r="45" spans="1:9">
      <c r="A45" s="31">
        <f t="shared" si="1"/>
        <v>2022</v>
      </c>
      <c r="B45" s="341"/>
      <c r="C45" s="449">
        <v>0.5</v>
      </c>
      <c r="D45" s="341"/>
      <c r="E45" s="449">
        <v>2.65</v>
      </c>
      <c r="F45" s="242"/>
      <c r="G45" s="445">
        <v>1.0770178477599999</v>
      </c>
      <c r="H45" s="57"/>
      <c r="I45" s="57"/>
    </row>
    <row r="46" spans="1:9">
      <c r="A46" s="57"/>
      <c r="B46" s="190"/>
      <c r="C46" s="449"/>
      <c r="D46" s="190"/>
      <c r="E46" s="96"/>
      <c r="F46" s="57"/>
      <c r="G46" s="44"/>
      <c r="H46" s="57"/>
      <c r="I46" s="57"/>
    </row>
    <row r="47" spans="1:9">
      <c r="A47" s="31" t="s">
        <v>332</v>
      </c>
      <c r="B47" s="57"/>
      <c r="C47" s="449"/>
      <c r="D47" s="57"/>
      <c r="E47" s="57"/>
      <c r="F47" s="57"/>
      <c r="G47" s="57"/>
      <c r="H47" s="57"/>
      <c r="I47" s="57"/>
    </row>
    <row r="48" spans="1:9">
      <c r="A48" s="191">
        <f>A45+1</f>
        <v>2023</v>
      </c>
      <c r="B48" s="341"/>
      <c r="C48" s="449">
        <v>4.3</v>
      </c>
      <c r="D48" s="341"/>
      <c r="E48" s="96"/>
      <c r="F48" s="242"/>
      <c r="G48" s="23"/>
    </row>
    <row r="49" spans="1:9">
      <c r="A49" s="31">
        <f>A48+1</f>
        <v>2024</v>
      </c>
      <c r="B49" s="341"/>
      <c r="C49" s="449">
        <v>2.9000000000000004</v>
      </c>
      <c r="D49" s="341"/>
      <c r="E49" s="96"/>
      <c r="F49" s="57"/>
      <c r="G49" s="23"/>
    </row>
    <row r="50" spans="1:9">
      <c r="A50" s="237" t="str">
        <f>'Exhibit 4.1'!$B$47</f>
        <v>9/1/2024</v>
      </c>
      <c r="B50" s="341"/>
      <c r="C50" s="449">
        <v>0.48333333333333339</v>
      </c>
      <c r="D50" s="465" t="s">
        <v>551</v>
      </c>
      <c r="E50" s="243"/>
      <c r="F50" s="341"/>
      <c r="G50" s="341"/>
    </row>
    <row r="51" spans="1:9">
      <c r="A51" s="31"/>
      <c r="B51" s="341"/>
      <c r="C51" s="341"/>
      <c r="D51" s="341"/>
      <c r="E51" s="192"/>
      <c r="F51" s="341"/>
      <c r="G51" s="44"/>
    </row>
    <row r="52" spans="1:9" ht="54" customHeight="1">
      <c r="A52" s="34" t="s">
        <v>22</v>
      </c>
      <c r="B52" s="510" t="s">
        <v>472</v>
      </c>
      <c r="C52" s="510"/>
      <c r="D52" s="510"/>
      <c r="E52" s="510"/>
      <c r="F52" s="510"/>
      <c r="G52" s="510"/>
      <c r="H52" s="57"/>
      <c r="I52" s="159"/>
    </row>
    <row r="53" spans="1:9" ht="78" customHeight="1">
      <c r="A53" s="34" t="s">
        <v>28</v>
      </c>
      <c r="B53" s="526" t="s">
        <v>473</v>
      </c>
      <c r="C53" s="526"/>
      <c r="D53" s="526"/>
      <c r="E53" s="526"/>
      <c r="F53" s="526"/>
      <c r="G53" s="526"/>
      <c r="H53" s="57"/>
      <c r="I53" s="57"/>
    </row>
    <row r="54" spans="1:9">
      <c r="A54" s="322" t="s">
        <v>427</v>
      </c>
      <c r="B54" s="341" t="s">
        <v>455</v>
      </c>
      <c r="C54" s="242"/>
      <c r="D54" s="242"/>
      <c r="E54" s="57"/>
      <c r="F54" s="57"/>
      <c r="G54" s="57"/>
      <c r="H54" s="57"/>
      <c r="I54" s="57"/>
    </row>
    <row r="55" spans="1:9">
      <c r="A55" s="57"/>
      <c r="B55" s="242"/>
      <c r="C55" s="242"/>
      <c r="D55" s="242"/>
      <c r="E55" s="57"/>
      <c r="F55" s="57"/>
      <c r="G55" s="57"/>
      <c r="H55" s="57"/>
      <c r="I55" s="57"/>
    </row>
  </sheetData>
  <mergeCells count="2">
    <mergeCell ref="B52:G52"/>
    <mergeCell ref="B53:G53"/>
  </mergeCells>
  <printOptions horizontalCentered="1"/>
  <pageMargins left="0.5" right="0.5" top="0.75" bottom="0.75" header="0.33" footer="0.33"/>
  <pageSetup scale="89" orientation="portrait" blackAndWhite="1" horizontalDpi="1200" verticalDpi="1200" r:id="rId1"/>
  <headerFooter scaleWithDoc="0">
    <oddHeader>&amp;R&amp;"Arial,Regular"&amp;10Exhibit 5.1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S60"/>
  <sheetViews>
    <sheetView zoomScaleNormal="100" zoomScaleSheetLayoutView="85" workbookViewId="0"/>
  </sheetViews>
  <sheetFormatPr defaultColWidth="9.1796875" defaultRowHeight="12.5"/>
  <cols>
    <col min="1" max="1" width="8.453125" style="89" customWidth="1"/>
    <col min="2" max="2" width="4" style="89" customWidth="1"/>
    <col min="3" max="3" width="6" style="89" customWidth="1"/>
    <col min="4" max="6" width="7.1796875" style="89" customWidth="1"/>
    <col min="7" max="7" width="8.1796875" style="89" customWidth="1"/>
    <col min="8" max="8" width="7.1796875" style="89" customWidth="1"/>
    <col min="9" max="9" width="11.81640625" style="89" customWidth="1"/>
    <col min="10" max="10" width="5.81640625" style="89" customWidth="1"/>
    <col min="11" max="11" width="6" style="89" customWidth="1"/>
    <col min="12" max="12" width="6.1796875" style="89" customWidth="1"/>
    <col min="13" max="13" width="9.81640625" style="89" customWidth="1"/>
    <col min="14" max="14" width="5.1796875" style="89" customWidth="1"/>
    <col min="15" max="15" width="8.1796875" style="89" customWidth="1"/>
    <col min="16" max="16" width="7.1796875" style="89" customWidth="1"/>
    <col min="17" max="17" width="6" style="89" customWidth="1"/>
    <col min="18" max="18" width="4.54296875" style="89" customWidth="1"/>
    <col min="19" max="19" width="11.1796875" style="89" bestFit="1" customWidth="1"/>
    <col min="20" max="16384" width="9.1796875" style="89"/>
  </cols>
  <sheetData>
    <row r="1" spans="1:19" ht="16.399999999999999" customHeight="1">
      <c r="A1" s="97" t="s">
        <v>126</v>
      </c>
      <c r="B1" s="97"/>
      <c r="C1" s="97"/>
      <c r="D1" s="97"/>
      <c r="E1" s="97"/>
      <c r="F1" s="97"/>
      <c r="G1" s="97"/>
      <c r="H1" s="97"/>
      <c r="I1" s="97"/>
      <c r="J1" s="97"/>
      <c r="K1" s="97"/>
      <c r="L1" s="97"/>
      <c r="M1" s="97"/>
      <c r="N1" s="97"/>
      <c r="O1" s="97"/>
      <c r="P1" s="97"/>
      <c r="Q1" s="97"/>
      <c r="R1" s="97"/>
      <c r="S1" s="97"/>
    </row>
    <row r="2" spans="1:19" ht="16.399999999999999" customHeight="1">
      <c r="A2" s="91"/>
      <c r="B2" s="91"/>
      <c r="C2" s="91"/>
      <c r="D2" s="91"/>
      <c r="E2" s="91"/>
      <c r="F2" s="91"/>
      <c r="G2" s="91"/>
      <c r="H2" s="91"/>
      <c r="I2" s="91"/>
      <c r="J2" s="91"/>
      <c r="K2" s="91"/>
      <c r="L2" s="91"/>
      <c r="M2" s="91"/>
      <c r="N2" s="91"/>
      <c r="O2" s="91"/>
      <c r="P2" s="91"/>
      <c r="Q2" s="91"/>
      <c r="R2" s="91"/>
      <c r="S2" s="91"/>
    </row>
    <row r="3" spans="1:19" ht="16.399999999999999" customHeight="1">
      <c r="A3" s="91"/>
      <c r="B3" s="91"/>
      <c r="C3" s="21" t="s">
        <v>45</v>
      </c>
      <c r="D3" s="91"/>
      <c r="E3" s="32" t="s">
        <v>127</v>
      </c>
      <c r="F3" s="91"/>
      <c r="G3" s="32" t="s">
        <v>128</v>
      </c>
      <c r="H3" s="91"/>
      <c r="I3" s="32" t="s">
        <v>129</v>
      </c>
      <c r="J3" s="91"/>
      <c r="K3" s="21" t="s">
        <v>47</v>
      </c>
      <c r="L3" s="91"/>
      <c r="M3" s="21" t="s">
        <v>48</v>
      </c>
      <c r="N3" s="91"/>
      <c r="O3" s="21" t="s">
        <v>50</v>
      </c>
      <c r="P3" s="91"/>
      <c r="Q3" s="32" t="s">
        <v>51</v>
      </c>
      <c r="R3" s="91"/>
      <c r="S3" s="21" t="s">
        <v>130</v>
      </c>
    </row>
    <row r="4" spans="1:19" ht="16.399999999999999" customHeight="1">
      <c r="A4" s="91"/>
      <c r="B4" s="91"/>
      <c r="C4" s="91"/>
      <c r="D4" s="91"/>
      <c r="E4" s="31" t="s">
        <v>131</v>
      </c>
      <c r="F4" s="91"/>
      <c r="G4" s="31"/>
      <c r="H4" s="91"/>
      <c r="I4" s="31" t="s">
        <v>83</v>
      </c>
      <c r="J4" s="91"/>
      <c r="K4" s="91"/>
      <c r="L4" s="91"/>
      <c r="M4" s="91"/>
      <c r="N4" s="91"/>
      <c r="O4" s="91" t="s">
        <v>134</v>
      </c>
      <c r="P4" s="91"/>
      <c r="Q4" s="91"/>
      <c r="R4" s="91"/>
      <c r="S4" s="91"/>
    </row>
    <row r="5" spans="1:19" ht="16.399999999999999" customHeight="1">
      <c r="A5" s="91"/>
      <c r="B5" s="91"/>
      <c r="C5" s="91"/>
      <c r="D5" s="91"/>
      <c r="E5" s="31" t="s">
        <v>135</v>
      </c>
      <c r="F5" s="91"/>
      <c r="G5" s="45" t="s">
        <v>132</v>
      </c>
      <c r="H5" s="91"/>
      <c r="I5" s="31" t="s">
        <v>133</v>
      </c>
      <c r="J5" s="91"/>
      <c r="K5" s="91"/>
      <c r="L5" s="91"/>
      <c r="M5" s="91"/>
      <c r="N5" s="91"/>
      <c r="O5" s="91" t="s">
        <v>136</v>
      </c>
      <c r="P5" s="21"/>
      <c r="Q5" s="31" t="s">
        <v>83</v>
      </c>
      <c r="R5" s="91"/>
      <c r="S5" s="91"/>
    </row>
    <row r="6" spans="1:19" ht="16.399999999999999" customHeight="1">
      <c r="A6" s="91"/>
      <c r="B6" s="91"/>
      <c r="C6" s="91"/>
      <c r="D6" s="91"/>
      <c r="E6" s="91" t="s">
        <v>137</v>
      </c>
      <c r="F6" s="91"/>
      <c r="G6" s="31" t="s">
        <v>456</v>
      </c>
      <c r="H6" s="91"/>
      <c r="I6" s="31" t="s">
        <v>459</v>
      </c>
      <c r="J6" s="91"/>
      <c r="K6" s="91" t="s">
        <v>138</v>
      </c>
      <c r="L6" s="91"/>
      <c r="M6" s="91"/>
      <c r="N6" s="91"/>
      <c r="O6" s="91" t="s">
        <v>139</v>
      </c>
      <c r="P6" s="91"/>
      <c r="Q6" s="31" t="s">
        <v>140</v>
      </c>
      <c r="R6" s="91"/>
      <c r="S6" s="91" t="s">
        <v>64</v>
      </c>
    </row>
    <row r="7" spans="1:19" ht="16.399999999999999" customHeight="1">
      <c r="A7" s="91"/>
      <c r="B7" s="91"/>
      <c r="C7" s="91" t="s">
        <v>82</v>
      </c>
      <c r="D7" s="91"/>
      <c r="E7" s="91" t="s">
        <v>141</v>
      </c>
      <c r="F7" s="91"/>
      <c r="G7" s="31" t="s">
        <v>457</v>
      </c>
      <c r="H7" s="91"/>
      <c r="I7" s="31" t="s">
        <v>143</v>
      </c>
      <c r="J7" s="91"/>
      <c r="K7" s="91" t="s">
        <v>144</v>
      </c>
      <c r="L7" s="91"/>
      <c r="M7" s="91" t="s">
        <v>145</v>
      </c>
      <c r="N7" s="91"/>
      <c r="O7" s="174" t="s">
        <v>554</v>
      </c>
      <c r="P7" s="91"/>
      <c r="Q7" s="31" t="s">
        <v>146</v>
      </c>
      <c r="R7" s="91"/>
      <c r="S7" s="91" t="s">
        <v>9</v>
      </c>
    </row>
    <row r="8" spans="1:19" ht="16.399999999999999" customHeight="1">
      <c r="A8" s="91" t="s">
        <v>147</v>
      </c>
      <c r="B8" s="91"/>
      <c r="C8" s="83" t="str">
        <f>'Exhibit 4.4'!A47</f>
        <v>9/1/2024</v>
      </c>
      <c r="D8" s="91"/>
      <c r="E8" s="31" t="s">
        <v>142</v>
      </c>
      <c r="F8" s="91"/>
      <c r="G8" s="91" t="s">
        <v>458</v>
      </c>
      <c r="H8" s="91"/>
      <c r="I8" s="31" t="s">
        <v>148</v>
      </c>
      <c r="J8" s="91"/>
      <c r="K8" s="91" t="s">
        <v>149</v>
      </c>
      <c r="L8" s="91"/>
      <c r="M8" s="91" t="s">
        <v>150</v>
      </c>
      <c r="N8" s="91"/>
      <c r="O8" s="91" t="s">
        <v>142</v>
      </c>
      <c r="P8" s="91"/>
      <c r="Q8" s="31" t="s">
        <v>151</v>
      </c>
      <c r="R8" s="91"/>
      <c r="S8" s="91" t="s">
        <v>138</v>
      </c>
    </row>
    <row r="9" spans="1:19" ht="16.399999999999999" customHeight="1">
      <c r="A9" s="20" t="s">
        <v>8</v>
      </c>
      <c r="B9" s="20"/>
      <c r="C9" s="20" t="s">
        <v>152</v>
      </c>
      <c r="D9" s="20"/>
      <c r="E9" s="33" t="s">
        <v>153</v>
      </c>
      <c r="F9" s="20"/>
      <c r="G9" s="33" t="s">
        <v>552</v>
      </c>
      <c r="H9" s="20"/>
      <c r="I9" s="33" t="s">
        <v>553</v>
      </c>
      <c r="J9" s="20"/>
      <c r="K9" s="20" t="s">
        <v>154</v>
      </c>
      <c r="L9" s="20"/>
      <c r="M9" s="20" t="s">
        <v>155</v>
      </c>
      <c r="N9" s="20"/>
      <c r="O9" s="48" t="s">
        <v>156</v>
      </c>
      <c r="P9" s="20"/>
      <c r="Q9" s="33" t="s">
        <v>157</v>
      </c>
      <c r="R9" s="20"/>
      <c r="S9" s="20" t="s">
        <v>158</v>
      </c>
    </row>
    <row r="10" spans="1:19" ht="16.399999999999999" customHeight="1">
      <c r="A10" s="91">
        <f>+'Exhibit 4.1'!B9</f>
        <v>1987</v>
      </c>
      <c r="B10" s="24"/>
      <c r="C10" s="24">
        <f>SUMIFS('Exhibit 5.1'!G:G,'Exhibit 5.1'!A:A,$A10)</f>
        <v>3.7428684366784881</v>
      </c>
      <c r="D10" s="24"/>
      <c r="E10" s="24" t="s">
        <v>32</v>
      </c>
      <c r="F10" s="24"/>
      <c r="G10" s="24" t="s">
        <v>32</v>
      </c>
      <c r="H10" s="24"/>
      <c r="I10" s="445">
        <v>0.44616645642217945</v>
      </c>
      <c r="J10" s="24"/>
      <c r="K10" s="445">
        <v>0.99199999999999999</v>
      </c>
      <c r="L10" s="24"/>
      <c r="M10" s="445">
        <v>0.98299999999999998</v>
      </c>
      <c r="N10" s="24"/>
      <c r="O10" s="24">
        <v>1.03</v>
      </c>
      <c r="P10" s="24"/>
      <c r="Q10" s="24" t="s">
        <v>32</v>
      </c>
      <c r="R10" s="24"/>
      <c r="S10" s="24">
        <f>(C10*I10*K10)/(M10*O10)</f>
        <v>1.6361473283383394</v>
      </c>
    </row>
    <row r="11" spans="1:19" ht="16.399999999999999" customHeight="1">
      <c r="A11" s="91">
        <f>+'Exhibit 4.1'!B10</f>
        <v>1988</v>
      </c>
      <c r="B11" s="24"/>
      <c r="C11" s="24">
        <f>SUMIFS('Exhibit 5.1'!G:G,'Exhibit 5.1'!A:A,$A11)</f>
        <v>3.5851230236383986</v>
      </c>
      <c r="D11" s="24"/>
      <c r="E11" s="24" t="s">
        <v>32</v>
      </c>
      <c r="F11" s="24"/>
      <c r="G11" s="24" t="s">
        <v>32</v>
      </c>
      <c r="H11" s="24"/>
      <c r="I11" s="445">
        <v>0.39947037594626861</v>
      </c>
      <c r="J11" s="24"/>
      <c r="K11" s="445">
        <v>0.99299999999999999</v>
      </c>
      <c r="L11" s="24"/>
      <c r="M11" s="445">
        <v>0.96299999999999997</v>
      </c>
      <c r="N11" s="24"/>
      <c r="O11" s="24">
        <f>$O$10</f>
        <v>1.03</v>
      </c>
      <c r="P11" s="24"/>
      <c r="Q11" s="24" t="s">
        <v>32</v>
      </c>
      <c r="R11" s="24"/>
      <c r="S11" s="24">
        <f t="shared" ref="S11:S42" si="0">(C11*I11*K11)/(M11*O11)</f>
        <v>1.4337531268305852</v>
      </c>
    </row>
    <row r="12" spans="1:19" ht="16.399999999999999" customHeight="1">
      <c r="A12" s="91">
        <f>+'Exhibit 4.1'!B11</f>
        <v>1989</v>
      </c>
      <c r="B12" s="24"/>
      <c r="C12" s="24">
        <f>SUMIFS('Exhibit 5.1'!G:G,'Exhibit 5.1'!A:A,$A12)</f>
        <v>3.4373183352237766</v>
      </c>
      <c r="D12" s="24"/>
      <c r="E12" s="24" t="s">
        <v>32</v>
      </c>
      <c r="F12" s="24"/>
      <c r="G12" s="24" t="s">
        <v>32</v>
      </c>
      <c r="H12" s="24"/>
      <c r="I12" s="445">
        <v>0.39326855275806177</v>
      </c>
      <c r="J12" s="24"/>
      <c r="K12" s="445">
        <v>0.99299999999999999</v>
      </c>
      <c r="L12" s="24"/>
      <c r="M12" s="445">
        <v>0.94499999999999995</v>
      </c>
      <c r="N12" s="24"/>
      <c r="O12" s="24">
        <f t="shared" ref="O12:O45" si="1">$O$10</f>
        <v>1.03</v>
      </c>
      <c r="P12" s="24"/>
      <c r="Q12" s="24" t="s">
        <v>32</v>
      </c>
      <c r="R12" s="24"/>
      <c r="S12" s="24">
        <f t="shared" si="0"/>
        <v>1.3790791417401442</v>
      </c>
    </row>
    <row r="13" spans="1:19" ht="16.399999999999999" customHeight="1">
      <c r="A13" s="91">
        <f>+'Exhibit 4.1'!B12</f>
        <v>1990</v>
      </c>
      <c r="B13" s="24"/>
      <c r="C13" s="24">
        <f>SUMIFS('Exhibit 5.1'!G:G,'Exhibit 5.1'!A:A,$A13)</f>
        <v>3.2736365097369298</v>
      </c>
      <c r="D13" s="24"/>
      <c r="E13" s="24" t="s">
        <v>32</v>
      </c>
      <c r="F13" s="24"/>
      <c r="G13" s="24" t="s">
        <v>32</v>
      </c>
      <c r="H13" s="24"/>
      <c r="I13" s="445">
        <v>0.38341859828267427</v>
      </c>
      <c r="J13" s="24"/>
      <c r="K13" s="445">
        <v>0.99099999999999999</v>
      </c>
      <c r="L13" s="24"/>
      <c r="M13" s="445">
        <v>0.94199999999999995</v>
      </c>
      <c r="N13" s="24"/>
      <c r="O13" s="24">
        <f t="shared" si="1"/>
        <v>1.03</v>
      </c>
      <c r="P13" s="24"/>
      <c r="Q13" s="24" t="s">
        <v>32</v>
      </c>
      <c r="R13" s="24"/>
      <c r="S13" s="24">
        <f t="shared" si="0"/>
        <v>1.2820033431798352</v>
      </c>
    </row>
    <row r="14" spans="1:19" ht="16.399999999999999" customHeight="1">
      <c r="A14" s="91">
        <f>+'Exhibit 4.1'!B13</f>
        <v>1991</v>
      </c>
      <c r="B14" s="24"/>
      <c r="C14" s="24">
        <f>SUMIFS('Exhibit 5.1'!G:G,'Exhibit 5.1'!A:A,$A14)</f>
        <v>3.2000356888924046</v>
      </c>
      <c r="D14" s="24"/>
      <c r="E14" s="24" t="s">
        <v>32</v>
      </c>
      <c r="F14" s="24"/>
      <c r="G14" s="24" t="s">
        <v>32</v>
      </c>
      <c r="H14" s="24"/>
      <c r="I14" s="445">
        <v>0.3553279873713841</v>
      </c>
      <c r="J14" s="24"/>
      <c r="K14" s="445">
        <v>0.98699999999999999</v>
      </c>
      <c r="L14" s="24"/>
      <c r="M14" s="445">
        <v>0.93899999999999995</v>
      </c>
      <c r="N14" s="24"/>
      <c r="O14" s="24">
        <f t="shared" si="1"/>
        <v>1.03</v>
      </c>
      <c r="P14" s="24"/>
      <c r="Q14" s="24" t="s">
        <v>32</v>
      </c>
      <c r="R14" s="24"/>
      <c r="S14" s="24">
        <f t="shared" si="0"/>
        <v>1.1603755614004561</v>
      </c>
    </row>
    <row r="15" spans="1:19" ht="16.399999999999999" customHeight="1">
      <c r="A15" s="91">
        <f>+'Exhibit 4.1'!B14</f>
        <v>1992</v>
      </c>
      <c r="B15" s="24"/>
      <c r="C15" s="24">
        <f>SUMIFS('Exhibit 5.1'!G:G,'Exhibit 5.1'!A:A,$A15)</f>
        <v>3.0563855672324785</v>
      </c>
      <c r="D15" s="24"/>
      <c r="E15" s="24" t="s">
        <v>32</v>
      </c>
      <c r="F15" s="24"/>
      <c r="G15" s="24" t="s">
        <v>32</v>
      </c>
      <c r="H15" s="24"/>
      <c r="I15" s="445">
        <v>0.34037064909394393</v>
      </c>
      <c r="J15" s="24"/>
      <c r="K15" s="445">
        <v>0.98199999999999998</v>
      </c>
      <c r="L15" s="24"/>
      <c r="M15" s="445">
        <v>0.94</v>
      </c>
      <c r="N15" s="24"/>
      <c r="O15" s="24">
        <f t="shared" si="1"/>
        <v>1.03</v>
      </c>
      <c r="P15" s="24"/>
      <c r="Q15" s="24" t="s">
        <v>32</v>
      </c>
      <c r="R15" s="24"/>
      <c r="S15" s="24">
        <f t="shared" si="0"/>
        <v>1.0551316551240195</v>
      </c>
    </row>
    <row r="16" spans="1:19" ht="16.399999999999999" customHeight="1">
      <c r="A16" s="91">
        <f>+'Exhibit 4.1'!B15</f>
        <v>1993</v>
      </c>
      <c r="B16" s="24"/>
      <c r="C16" s="24">
        <f>SUMIFS('Exhibit 5.1'!G:G,'Exhibit 5.1'!A:A,$A16)</f>
        <v>3.0201438411388128</v>
      </c>
      <c r="D16" s="24"/>
      <c r="E16" s="24" t="s">
        <v>32</v>
      </c>
      <c r="F16" s="24"/>
      <c r="G16" s="24" t="s">
        <v>32</v>
      </c>
      <c r="H16" s="24"/>
      <c r="I16" s="445">
        <v>0.33672251780676338</v>
      </c>
      <c r="J16" s="24"/>
      <c r="K16" s="445">
        <v>0.98099999999999998</v>
      </c>
      <c r="L16" s="24"/>
      <c r="M16" s="445">
        <v>0.94899999999999995</v>
      </c>
      <c r="N16" s="24"/>
      <c r="O16" s="24">
        <f t="shared" si="1"/>
        <v>1.03</v>
      </c>
      <c r="P16" s="24"/>
      <c r="Q16" s="24" t="s">
        <v>32</v>
      </c>
      <c r="R16" s="24"/>
      <c r="S16" s="24">
        <f t="shared" si="0"/>
        <v>1.0206230165617773</v>
      </c>
    </row>
    <row r="17" spans="1:19" ht="16.399999999999999" customHeight="1">
      <c r="A17" s="91">
        <f>+'Exhibit 4.1'!B16</f>
        <v>1994</v>
      </c>
      <c r="B17" s="24"/>
      <c r="C17" s="24">
        <f>SUMIFS('Exhibit 5.1'!G:G,'Exhibit 5.1'!A:A,$A17)</f>
        <v>2.9667424765607198</v>
      </c>
      <c r="D17" s="24"/>
      <c r="E17" s="24" t="s">
        <v>32</v>
      </c>
      <c r="F17" s="24"/>
      <c r="G17" s="24" t="s">
        <v>32</v>
      </c>
      <c r="H17" s="24"/>
      <c r="I17" s="445">
        <v>0.38524266392626449</v>
      </c>
      <c r="J17" s="24"/>
      <c r="K17" s="445">
        <v>0.98599999999999999</v>
      </c>
      <c r="L17" s="24"/>
      <c r="M17" s="445">
        <v>0.94799999999999995</v>
      </c>
      <c r="N17" s="24"/>
      <c r="O17" s="24">
        <f t="shared" si="1"/>
        <v>1.03</v>
      </c>
      <c r="P17" s="24"/>
      <c r="Q17" s="24" t="s">
        <v>32</v>
      </c>
      <c r="R17" s="24"/>
      <c r="S17" s="24">
        <f t="shared" si="0"/>
        <v>1.1541056839186297</v>
      </c>
    </row>
    <row r="18" spans="1:19" ht="16.399999999999999" customHeight="1">
      <c r="A18" s="91">
        <f>+'Exhibit 4.1'!B17</f>
        <v>1995</v>
      </c>
      <c r="B18" s="24"/>
      <c r="C18" s="24">
        <f>SUMIFS('Exhibit 5.1'!G:G,'Exhibit 5.1'!A:A,$A18)</f>
        <v>2.8831316584652282</v>
      </c>
      <c r="D18" s="24"/>
      <c r="E18" s="24" t="s">
        <v>32</v>
      </c>
      <c r="F18" s="24"/>
      <c r="G18" s="24" t="s">
        <v>32</v>
      </c>
      <c r="H18" s="24"/>
      <c r="I18" s="445">
        <v>0.52134787561465334</v>
      </c>
      <c r="J18" s="24"/>
      <c r="K18" s="445">
        <v>0.995</v>
      </c>
      <c r="L18" s="24"/>
      <c r="M18" s="445">
        <v>0.95799999999999996</v>
      </c>
      <c r="N18" s="24"/>
      <c r="O18" s="24">
        <f t="shared" si="1"/>
        <v>1.03</v>
      </c>
      <c r="P18" s="24"/>
      <c r="Q18" s="24" t="s">
        <v>32</v>
      </c>
      <c r="R18" s="24"/>
      <c r="S18" s="24">
        <f t="shared" si="0"/>
        <v>1.515697136461386</v>
      </c>
    </row>
    <row r="19" spans="1:19" ht="16.399999999999999" customHeight="1">
      <c r="A19" s="91">
        <f>+'Exhibit 4.1'!B18</f>
        <v>1996</v>
      </c>
      <c r="B19" s="24"/>
      <c r="C19" s="24">
        <f>SUMIFS('Exhibit 5.1'!G:G,'Exhibit 5.1'!A:A,$A19)</f>
        <v>2.7883284898116325</v>
      </c>
      <c r="D19" s="24"/>
      <c r="E19" s="445">
        <v>1.030988199156865</v>
      </c>
      <c r="F19" s="24"/>
      <c r="G19" s="445">
        <v>0.55389520364060829</v>
      </c>
      <c r="H19" s="24"/>
      <c r="I19" s="24">
        <f>G19/E19</f>
        <v>0.53724689001637449</v>
      </c>
      <c r="J19" s="24"/>
      <c r="K19" s="445">
        <v>1</v>
      </c>
      <c r="L19" s="24"/>
      <c r="M19" s="445">
        <v>0.93500000000000005</v>
      </c>
      <c r="N19" s="24"/>
      <c r="O19" s="24">
        <f t="shared" si="1"/>
        <v>1.03</v>
      </c>
      <c r="P19" s="24"/>
      <c r="Q19" s="24" t="s">
        <v>32</v>
      </c>
      <c r="R19" s="24"/>
      <c r="S19" s="24">
        <f t="shared" si="0"/>
        <v>1.5554964015319594</v>
      </c>
    </row>
    <row r="20" spans="1:19" ht="16.399999999999999" customHeight="1">
      <c r="A20" s="91">
        <f>+'Exhibit 4.1'!B19</f>
        <v>1997</v>
      </c>
      <c r="B20" s="24"/>
      <c r="C20" s="24">
        <f>SUMIFS('Exhibit 5.1'!G:G,'Exhibit 5.1'!A:A,$A20)</f>
        <v>2.6631599711667935</v>
      </c>
      <c r="D20" s="24"/>
      <c r="E20" s="445">
        <v>0.99822105895279911</v>
      </c>
      <c r="F20" s="24"/>
      <c r="G20" s="445">
        <v>0.55258596979404306</v>
      </c>
      <c r="H20" s="24"/>
      <c r="I20" s="24">
        <f t="shared" ref="I20:I40" si="2">G20/E20</f>
        <v>0.55357073950507796</v>
      </c>
      <c r="J20" s="24"/>
      <c r="K20" s="445">
        <v>1</v>
      </c>
      <c r="L20" s="24"/>
      <c r="M20" s="445">
        <v>0.94899999999999995</v>
      </c>
      <c r="N20" s="24"/>
      <c r="O20" s="24">
        <f t="shared" si="1"/>
        <v>1.03</v>
      </c>
      <c r="P20" s="24"/>
      <c r="Q20" s="24" t="s">
        <v>32</v>
      </c>
      <c r="R20" s="24"/>
      <c r="S20" s="24">
        <f t="shared" si="0"/>
        <v>1.5082278071543105</v>
      </c>
    </row>
    <row r="21" spans="1:19" ht="16.399999999999999" customHeight="1">
      <c r="A21" s="91">
        <f>+'Exhibit 4.1'!B20</f>
        <v>1998</v>
      </c>
      <c r="B21" s="24"/>
      <c r="C21" s="24">
        <f>SUMIFS('Exhibit 5.1'!G:G,'Exhibit 5.1'!A:A,$A21)</f>
        <v>2.5315208851395372</v>
      </c>
      <c r="D21" s="24"/>
      <c r="E21" s="445">
        <v>0.96527917280802233</v>
      </c>
      <c r="F21" s="24"/>
      <c r="G21" s="445">
        <v>0.5755926523218291</v>
      </c>
      <c r="H21" s="24"/>
      <c r="I21" s="24">
        <f t="shared" si="2"/>
        <v>0.59629656221361849</v>
      </c>
      <c r="J21" s="24"/>
      <c r="K21" s="445">
        <v>1</v>
      </c>
      <c r="L21" s="24"/>
      <c r="M21" s="445">
        <v>0.95899999999999996</v>
      </c>
      <c r="N21" s="24"/>
      <c r="O21" s="24">
        <f t="shared" si="1"/>
        <v>1.03</v>
      </c>
      <c r="P21" s="24"/>
      <c r="Q21" s="24" t="s">
        <v>32</v>
      </c>
      <c r="R21" s="24"/>
      <c r="S21" s="24">
        <f t="shared" si="0"/>
        <v>1.5282274223560977</v>
      </c>
    </row>
    <row r="22" spans="1:19" ht="16.399999999999999" customHeight="1">
      <c r="A22" s="91">
        <f>+'Exhibit 4.1'!B21</f>
        <v>1999</v>
      </c>
      <c r="B22" s="24"/>
      <c r="C22" s="24">
        <f>SUMIFS('Exhibit 5.1'!G:G,'Exhibit 5.1'!A:A,$A22)</f>
        <v>2.3837296470240461</v>
      </c>
      <c r="D22" s="24"/>
      <c r="E22" s="445">
        <v>0.97186096441403469</v>
      </c>
      <c r="F22" s="24"/>
      <c r="G22" s="445">
        <v>0.58176873717099953</v>
      </c>
      <c r="H22" s="24"/>
      <c r="I22" s="24">
        <f t="shared" si="2"/>
        <v>0.59861313343495182</v>
      </c>
      <c r="J22" s="24"/>
      <c r="K22" s="445">
        <v>1</v>
      </c>
      <c r="L22" s="24"/>
      <c r="M22" s="445">
        <v>0.95399999999999996</v>
      </c>
      <c r="N22" s="24"/>
      <c r="O22" s="24">
        <f t="shared" si="1"/>
        <v>1.03</v>
      </c>
      <c r="P22" s="24"/>
      <c r="Q22" s="24" t="s">
        <v>32</v>
      </c>
      <c r="R22" s="24"/>
      <c r="S22" s="24">
        <f t="shared" si="0"/>
        <v>1.4521705982646964</v>
      </c>
    </row>
    <row r="23" spans="1:19" ht="16.399999999999999" customHeight="1">
      <c r="A23" s="91">
        <f>+'Exhibit 4.1'!B22</f>
        <v>2000</v>
      </c>
      <c r="B23" s="24"/>
      <c r="C23" s="24">
        <f>SUMIFS('Exhibit 5.1'!G:G,'Exhibit 5.1'!A:A,$A23)</f>
        <v>2.1869079330495835</v>
      </c>
      <c r="D23" s="24"/>
      <c r="E23" s="445">
        <v>1.0048394109559586</v>
      </c>
      <c r="F23" s="24"/>
      <c r="G23" s="445">
        <v>0.5275419539038998</v>
      </c>
      <c r="H23" s="24"/>
      <c r="I23" s="24">
        <f t="shared" si="2"/>
        <v>0.52500125706855016</v>
      </c>
      <c r="J23" s="24"/>
      <c r="K23" s="445">
        <v>1</v>
      </c>
      <c r="L23" s="24"/>
      <c r="M23" s="445">
        <v>0.97</v>
      </c>
      <c r="N23" s="24"/>
      <c r="O23" s="24">
        <f t="shared" si="1"/>
        <v>1.03</v>
      </c>
      <c r="P23" s="24"/>
      <c r="Q23" s="24" t="s">
        <v>32</v>
      </c>
      <c r="R23" s="24"/>
      <c r="S23" s="24">
        <f t="shared" si="0"/>
        <v>1.1491636612393317</v>
      </c>
    </row>
    <row r="24" spans="1:19" ht="16.399999999999999" customHeight="1">
      <c r="A24" s="91">
        <f>+'Exhibit 4.1'!B23</f>
        <v>2001</v>
      </c>
      <c r="B24" s="49"/>
      <c r="C24" s="24">
        <f>SUMIFS('Exhibit 5.1'!G:G,'Exhibit 5.1'!A:A,$A24)</f>
        <v>2.1738647445820911</v>
      </c>
      <c r="D24" s="24"/>
      <c r="E24" s="445">
        <v>1.0312868232746137</v>
      </c>
      <c r="F24" s="24"/>
      <c r="G24" s="445">
        <v>0.46456590491181926</v>
      </c>
      <c r="H24" s="24"/>
      <c r="I24" s="24">
        <f t="shared" si="2"/>
        <v>0.45047206502328541</v>
      </c>
      <c r="J24" s="24"/>
      <c r="K24" s="445">
        <v>1</v>
      </c>
      <c r="L24" s="24"/>
      <c r="M24" s="445">
        <v>0.96899999999999997</v>
      </c>
      <c r="N24" s="24"/>
      <c r="O24" s="24">
        <f t="shared" si="1"/>
        <v>1.03</v>
      </c>
      <c r="P24" s="24"/>
      <c r="Q24" s="24" t="s">
        <v>32</v>
      </c>
      <c r="R24" s="24"/>
      <c r="S24" s="24">
        <f t="shared" si="0"/>
        <v>0.98115897739959268</v>
      </c>
    </row>
    <row r="25" spans="1:19" ht="16.399999999999999" customHeight="1">
      <c r="A25" s="91">
        <f>+'Exhibit 4.1'!B24</f>
        <v>2002</v>
      </c>
      <c r="B25" s="49"/>
      <c r="C25" s="24">
        <f>SUMIFS('Exhibit 5.1'!G:G,'Exhibit 5.1'!A:A,$A25)</f>
        <v>2.1502124080930676</v>
      </c>
      <c r="D25" s="24"/>
      <c r="E25" s="445">
        <v>1.166753618146682</v>
      </c>
      <c r="F25" s="24"/>
      <c r="G25" s="445">
        <v>0.41581986057711423</v>
      </c>
      <c r="H25" s="24"/>
      <c r="I25" s="24">
        <f t="shared" si="2"/>
        <v>0.35639046162772486</v>
      </c>
      <c r="J25" s="24"/>
      <c r="K25" s="445">
        <v>1</v>
      </c>
      <c r="L25" s="24"/>
      <c r="M25" s="445">
        <v>0.99099999999999999</v>
      </c>
      <c r="N25" s="24"/>
      <c r="O25" s="24">
        <f t="shared" si="1"/>
        <v>1.03</v>
      </c>
      <c r="P25" s="24"/>
      <c r="Q25" s="24" t="s">
        <v>32</v>
      </c>
      <c r="R25" s="24"/>
      <c r="S25" s="24">
        <f t="shared" si="0"/>
        <v>0.7507521016507307</v>
      </c>
    </row>
    <row r="26" spans="1:19" ht="16.399999999999999" customHeight="1">
      <c r="A26" s="91">
        <f>+'Exhibit 4.1'!B25</f>
        <v>2003</v>
      </c>
      <c r="B26" s="49"/>
      <c r="C26" s="24">
        <f>SUMIFS('Exhibit 5.1'!G:G,'Exhibit 5.1'!A:A,$A26)</f>
        <v>2.0754946024064358</v>
      </c>
      <c r="D26" s="24"/>
      <c r="E26" s="445">
        <v>1.2823893740500729</v>
      </c>
      <c r="F26" s="24"/>
      <c r="G26" s="445">
        <v>0.34034021820835586</v>
      </c>
      <c r="H26" s="24"/>
      <c r="I26" s="24">
        <f t="shared" si="2"/>
        <v>0.26539538231940057</v>
      </c>
      <c r="J26" s="24"/>
      <c r="K26" s="445">
        <v>1</v>
      </c>
      <c r="L26" s="24"/>
      <c r="M26" s="445">
        <v>1.0049999999999999</v>
      </c>
      <c r="N26" s="24"/>
      <c r="O26" s="24">
        <f t="shared" si="1"/>
        <v>1.03</v>
      </c>
      <c r="P26" s="24"/>
      <c r="Q26" s="24" t="s">
        <v>32</v>
      </c>
      <c r="R26" s="24"/>
      <c r="S26" s="24">
        <f t="shared" si="0"/>
        <v>0.53212257499638538</v>
      </c>
    </row>
    <row r="27" spans="1:19" ht="16.399999999999999" customHeight="1">
      <c r="A27" s="91">
        <f>+'Exhibit 4.1'!B26</f>
        <v>2004</v>
      </c>
      <c r="B27" s="49"/>
      <c r="C27" s="24">
        <f>SUMIFS('Exhibit 5.1'!G:G,'Exhibit 5.1'!A:A,$A27)</f>
        <v>1.9766615261013674</v>
      </c>
      <c r="D27" s="24"/>
      <c r="E27" s="445">
        <v>1.3995096532502738</v>
      </c>
      <c r="F27" s="24"/>
      <c r="G27" s="445">
        <v>0.34619923163456484</v>
      </c>
      <c r="H27" s="24"/>
      <c r="I27" s="24">
        <f t="shared" si="2"/>
        <v>0.24737180685430696</v>
      </c>
      <c r="J27" s="24"/>
      <c r="K27" s="445">
        <v>1</v>
      </c>
      <c r="L27" s="24"/>
      <c r="M27" s="445">
        <v>0.98099999999999998</v>
      </c>
      <c r="N27" s="24"/>
      <c r="O27" s="24">
        <f t="shared" si="1"/>
        <v>1.03</v>
      </c>
      <c r="P27" s="24"/>
      <c r="Q27" s="24" t="s">
        <v>32</v>
      </c>
      <c r="R27" s="24"/>
      <c r="S27" s="24">
        <f t="shared" si="0"/>
        <v>0.48392301619220246</v>
      </c>
    </row>
    <row r="28" spans="1:19" ht="16.399999999999999" customHeight="1">
      <c r="A28" s="91">
        <f>+'Exhibit 4.1'!B27</f>
        <v>2005</v>
      </c>
      <c r="B28" s="49"/>
      <c r="C28" s="24">
        <f>SUMIFS('Exhibit 5.1'!G:G,'Exhibit 5.1'!A:A,$A28)</f>
        <v>1.9153696958346582</v>
      </c>
      <c r="D28" s="24"/>
      <c r="E28" s="445">
        <v>1.4703252948630783</v>
      </c>
      <c r="F28" s="24"/>
      <c r="G28" s="445">
        <v>0.41651516425681906</v>
      </c>
      <c r="H28" s="24"/>
      <c r="I28" s="24">
        <f t="shared" si="2"/>
        <v>0.28328096218708282</v>
      </c>
      <c r="J28" s="24"/>
      <c r="K28" s="445">
        <v>1</v>
      </c>
      <c r="L28" s="24"/>
      <c r="M28" s="445">
        <v>0.98199999999999998</v>
      </c>
      <c r="N28" s="24"/>
      <c r="O28" s="24">
        <f t="shared" si="1"/>
        <v>1.03</v>
      </c>
      <c r="P28" s="24"/>
      <c r="Q28" s="24" t="s">
        <v>32</v>
      </c>
      <c r="R28" s="24"/>
      <c r="S28" s="24">
        <f t="shared" si="0"/>
        <v>0.53644016607678224</v>
      </c>
    </row>
    <row r="29" spans="1:19" ht="16.399999999999999" customHeight="1">
      <c r="A29" s="91">
        <f>+'Exhibit 4.1'!B28</f>
        <v>2006</v>
      </c>
      <c r="B29" s="49"/>
      <c r="C29" s="24">
        <f>SUMIFS('Exhibit 5.1'!G:G,'Exhibit 5.1'!A:A,$A29)</f>
        <v>1.8311373765149694</v>
      </c>
      <c r="D29" s="49"/>
      <c r="E29" s="445">
        <v>1.4467220159636907</v>
      </c>
      <c r="F29" s="24"/>
      <c r="G29" s="445">
        <v>0.53667251419021389</v>
      </c>
      <c r="H29" s="49"/>
      <c r="I29" s="24">
        <f t="shared" si="2"/>
        <v>0.37095759120851252</v>
      </c>
      <c r="J29" s="49"/>
      <c r="K29" s="445">
        <v>1</v>
      </c>
      <c r="L29" s="49"/>
      <c r="M29" s="445">
        <v>0.95599999999999996</v>
      </c>
      <c r="N29" s="49"/>
      <c r="O29" s="24">
        <f t="shared" si="1"/>
        <v>1.03</v>
      </c>
      <c r="P29" s="24"/>
      <c r="Q29" s="24" t="s">
        <v>32</v>
      </c>
      <c r="R29" s="49"/>
      <c r="S29" s="24">
        <f t="shared" si="0"/>
        <v>0.68984270053608088</v>
      </c>
    </row>
    <row r="30" spans="1:19" ht="16.399999999999999" customHeight="1">
      <c r="A30" s="91">
        <f>+'Exhibit 4.1'!B29</f>
        <v>2007</v>
      </c>
      <c r="B30" s="49"/>
      <c r="C30" s="24">
        <f>SUMIFS('Exhibit 5.1'!G:G,'Exhibit 5.1'!A:A,$A30)</f>
        <v>1.7522845708277222</v>
      </c>
      <c r="D30" s="49"/>
      <c r="E30" s="445">
        <v>1.4927586030520217</v>
      </c>
      <c r="F30" s="24"/>
      <c r="G30" s="445">
        <v>0.73119208284162107</v>
      </c>
      <c r="H30" s="49"/>
      <c r="I30" s="24">
        <f t="shared" si="2"/>
        <v>0.48982607190918964</v>
      </c>
      <c r="J30" s="49"/>
      <c r="K30" s="445">
        <v>1</v>
      </c>
      <c r="L30" s="49"/>
      <c r="M30" s="445">
        <v>0.93100000000000005</v>
      </c>
      <c r="N30" s="49"/>
      <c r="O30" s="24">
        <f t="shared" si="1"/>
        <v>1.03</v>
      </c>
      <c r="P30" s="24"/>
      <c r="Q30" s="445">
        <v>0.98499999999999999</v>
      </c>
      <c r="R30" s="49"/>
      <c r="S30" s="24">
        <f>(C30*I30*K30*Q30)/(M30*O30)</f>
        <v>0.88164928427798583</v>
      </c>
    </row>
    <row r="31" spans="1:19" ht="16.399999999999999" customHeight="1">
      <c r="A31" s="91">
        <f>+'Exhibit 4.1'!B30</f>
        <v>2008</v>
      </c>
      <c r="B31" s="49"/>
      <c r="C31" s="24">
        <f>SUMIFS('Exhibit 5.1'!G:G,'Exhibit 5.1'!A:A,$A31)</f>
        <v>1.7162434582054087</v>
      </c>
      <c r="D31" s="49"/>
      <c r="E31" s="445">
        <v>1.4261129520160045</v>
      </c>
      <c r="F31" s="24"/>
      <c r="G31" s="445">
        <v>0.87023407068965053</v>
      </c>
      <c r="H31" s="49"/>
      <c r="I31" s="24">
        <f t="shared" si="2"/>
        <v>0.61021398722973264</v>
      </c>
      <c r="J31" s="49"/>
      <c r="K31" s="445">
        <v>1</v>
      </c>
      <c r="L31" s="49"/>
      <c r="M31" s="445">
        <v>0.94599999999999995</v>
      </c>
      <c r="N31" s="49"/>
      <c r="O31" s="24">
        <f t="shared" si="1"/>
        <v>1.03</v>
      </c>
      <c r="P31" s="24"/>
      <c r="Q31" s="445">
        <v>0.99099999999999999</v>
      </c>
      <c r="R31" s="49"/>
      <c r="S31" s="24">
        <f t="shared" ref="S31:S33" si="3">(C31*I31*K31*Q31)/(M31*O31)</f>
        <v>1.0651391467551379</v>
      </c>
    </row>
    <row r="32" spans="1:19" ht="16.399999999999999" customHeight="1">
      <c r="A32" s="91">
        <f>+'Exhibit 4.1'!B31</f>
        <v>2009</v>
      </c>
      <c r="B32" s="49"/>
      <c r="C32" s="24">
        <f>SUMIFS('Exhibit 5.1'!G:G,'Exhibit 5.1'!A:A,$A32)</f>
        <v>1.7077049335377203</v>
      </c>
      <c r="D32" s="49"/>
      <c r="E32" s="445">
        <v>1.3655621011652161</v>
      </c>
      <c r="F32" s="24"/>
      <c r="G32" s="445">
        <v>0.85766881692418728</v>
      </c>
      <c r="H32" s="49"/>
      <c r="I32" s="24">
        <f t="shared" si="2"/>
        <v>0.62807016699742169</v>
      </c>
      <c r="J32" s="49"/>
      <c r="K32" s="445">
        <v>1</v>
      </c>
      <c r="L32" s="49"/>
      <c r="M32" s="445">
        <v>0.93700000000000006</v>
      </c>
      <c r="N32" s="49"/>
      <c r="O32" s="24">
        <f t="shared" si="1"/>
        <v>1.03</v>
      </c>
      <c r="P32" s="24"/>
      <c r="Q32" s="445">
        <v>1.034</v>
      </c>
      <c r="R32" s="49"/>
      <c r="S32" s="24">
        <f t="shared" si="3"/>
        <v>1.1491182482454796</v>
      </c>
    </row>
    <row r="33" spans="1:19" ht="16.399999999999999" customHeight="1">
      <c r="A33" s="91">
        <f>+'Exhibit 4.1'!B32</f>
        <v>2010</v>
      </c>
      <c r="B33" s="49"/>
      <c r="C33" s="24">
        <f>SUMIFS('Exhibit 5.1'!G:G,'Exhibit 5.1'!A:A,$A33)</f>
        <v>1.6579659548909906</v>
      </c>
      <c r="D33" s="49"/>
      <c r="E33" s="445">
        <v>1.383443284983209</v>
      </c>
      <c r="F33" s="24"/>
      <c r="G33" s="445">
        <v>0.84071024137558814</v>
      </c>
      <c r="H33" s="49"/>
      <c r="I33" s="24">
        <f t="shared" si="2"/>
        <v>0.60769404174439423</v>
      </c>
      <c r="J33" s="49"/>
      <c r="K33" s="445">
        <v>1</v>
      </c>
      <c r="L33" s="49"/>
      <c r="M33" s="445">
        <v>0.94099999999999995</v>
      </c>
      <c r="N33" s="49"/>
      <c r="O33" s="24">
        <f t="shared" si="1"/>
        <v>1.03</v>
      </c>
      <c r="P33" s="24"/>
      <c r="Q33" s="445">
        <v>1.0049999999999999</v>
      </c>
      <c r="R33" s="49"/>
      <c r="S33" s="24">
        <f t="shared" si="3"/>
        <v>1.0447197387238547</v>
      </c>
    </row>
    <row r="34" spans="1:19" ht="16.399999999999999" customHeight="1">
      <c r="A34" s="91">
        <f>+'Exhibit 4.1'!B33</f>
        <v>2011</v>
      </c>
      <c r="B34" s="49"/>
      <c r="C34" s="24">
        <f>SUMIFS('Exhibit 5.1'!G:G,'Exhibit 5.1'!A:A,$A34)</f>
        <v>1.6081144082356846</v>
      </c>
      <c r="D34" s="49"/>
      <c r="E34" s="445">
        <v>1.4009957984879522</v>
      </c>
      <c r="F34" s="24"/>
      <c r="G34" s="445">
        <v>0.83990817423969422</v>
      </c>
      <c r="H34" s="49"/>
      <c r="I34" s="24">
        <f t="shared" si="2"/>
        <v>0.59950798935027427</v>
      </c>
      <c r="J34" s="49"/>
      <c r="K34" s="445">
        <v>1</v>
      </c>
      <c r="L34" s="49"/>
      <c r="M34" s="445">
        <v>0.98199999999999998</v>
      </c>
      <c r="N34" s="49"/>
      <c r="O34" s="24">
        <f t="shared" si="1"/>
        <v>1.03</v>
      </c>
      <c r="P34" s="24"/>
      <c r="Q34" s="37" t="s">
        <v>32</v>
      </c>
      <c r="R34" s="49"/>
      <c r="S34" s="24">
        <f t="shared" si="0"/>
        <v>0.95315428739305696</v>
      </c>
    </row>
    <row r="35" spans="1:19" ht="16.399999999999999" customHeight="1">
      <c r="A35" s="91">
        <f>+'Exhibit 4.1'!B34</f>
        <v>2012</v>
      </c>
      <c r="B35" s="49"/>
      <c r="C35" s="24">
        <f>SUMIFS('Exhibit 5.1'!G:G,'Exhibit 5.1'!A:A,$A35)</f>
        <v>1.5432959771935553</v>
      </c>
      <c r="D35" s="49"/>
      <c r="E35" s="445">
        <v>1.2230987679508474</v>
      </c>
      <c r="F35" s="24"/>
      <c r="G35" s="445">
        <v>0.69238768068432588</v>
      </c>
      <c r="H35" s="49"/>
      <c r="I35" s="24">
        <f t="shared" si="2"/>
        <v>0.56609302439600762</v>
      </c>
      <c r="J35" s="49"/>
      <c r="K35" s="445">
        <v>1</v>
      </c>
      <c r="L35" s="49"/>
      <c r="M35" s="445">
        <v>1</v>
      </c>
      <c r="N35" s="49"/>
      <c r="O35" s="24">
        <f t="shared" si="1"/>
        <v>1.03</v>
      </c>
      <c r="P35" s="24"/>
      <c r="Q35" s="24" t="s">
        <v>32</v>
      </c>
      <c r="R35" s="49"/>
      <c r="S35" s="24">
        <f t="shared" si="0"/>
        <v>0.84820299734727356</v>
      </c>
    </row>
    <row r="36" spans="1:19" ht="16.399999999999999" customHeight="1">
      <c r="A36" s="91">
        <f>+'Exhibit 4.1'!B35</f>
        <v>2013</v>
      </c>
      <c r="B36" s="49"/>
      <c r="C36" s="24">
        <f>SUMIFS('Exhibit 5.1'!G:G,'Exhibit 5.1'!A:A,$A36)</f>
        <v>1.5325680011852587</v>
      </c>
      <c r="D36" s="49"/>
      <c r="E36" s="445">
        <v>1.1382336460063744</v>
      </c>
      <c r="F36" s="24"/>
      <c r="G36" s="445">
        <v>0.557467494041615</v>
      </c>
      <c r="H36" s="49"/>
      <c r="I36" s="24">
        <f t="shared" si="2"/>
        <v>0.48976543260476857</v>
      </c>
      <c r="J36" s="49"/>
      <c r="K36" s="445">
        <v>1</v>
      </c>
      <c r="L36" s="49"/>
      <c r="M36" s="445">
        <v>0.98299999999999998</v>
      </c>
      <c r="N36" s="49"/>
      <c r="O36" s="24">
        <f t="shared" si="1"/>
        <v>1.03</v>
      </c>
      <c r="P36" s="24"/>
      <c r="Q36" s="24" t="s">
        <v>32</v>
      </c>
      <c r="R36" s="49"/>
      <c r="S36" s="24">
        <f t="shared" si="0"/>
        <v>0.74133949974490965</v>
      </c>
    </row>
    <row r="37" spans="1:19" ht="16.399999999999999" customHeight="1">
      <c r="A37" s="91">
        <f>+'Exhibit 4.1'!B36</f>
        <v>2014</v>
      </c>
      <c r="B37" s="49"/>
      <c r="C37" s="24">
        <f>SUMIFS('Exhibit 5.1'!G:G,'Exhibit 5.1'!A:A,$A37)</f>
        <v>1.4836089072461363</v>
      </c>
      <c r="D37" s="49"/>
      <c r="E37" s="445">
        <v>1.1272850069453022</v>
      </c>
      <c r="F37" s="24"/>
      <c r="G37" s="445">
        <v>0.51359216127472029</v>
      </c>
      <c r="H37" s="49"/>
      <c r="I37" s="24">
        <f t="shared" si="2"/>
        <v>0.45560098653883779</v>
      </c>
      <c r="J37" s="49"/>
      <c r="K37" s="445">
        <v>1</v>
      </c>
      <c r="L37" s="49"/>
      <c r="M37" s="445">
        <v>0.96099999999999997</v>
      </c>
      <c r="N37" s="49"/>
      <c r="O37" s="24">
        <f t="shared" si="1"/>
        <v>1.03</v>
      </c>
      <c r="P37" s="24"/>
      <c r="Q37" s="24" t="s">
        <v>32</v>
      </c>
      <c r="R37" s="49"/>
      <c r="S37" s="24">
        <f t="shared" si="0"/>
        <v>0.68287855670079389</v>
      </c>
    </row>
    <row r="38" spans="1:19" ht="16.399999999999999" customHeight="1">
      <c r="A38" s="91">
        <f>+'Exhibit 4.1'!B37</f>
        <v>2015</v>
      </c>
      <c r="B38" s="49"/>
      <c r="C38" s="24">
        <f>SUMIFS('Exhibit 5.1'!G:G,'Exhibit 5.1'!A:A,$A38)</f>
        <v>1.4197214423408004</v>
      </c>
      <c r="D38" s="49"/>
      <c r="E38" s="445">
        <v>1.1087089675437782</v>
      </c>
      <c r="F38" s="24"/>
      <c r="G38" s="445">
        <v>0.49904695555784312</v>
      </c>
      <c r="H38" s="49"/>
      <c r="I38" s="24">
        <f t="shared" si="2"/>
        <v>0.45011537758499987</v>
      </c>
      <c r="J38" s="49"/>
      <c r="K38" s="445">
        <v>1</v>
      </c>
      <c r="L38" s="49"/>
      <c r="M38" s="445">
        <v>0.95099999999999996</v>
      </c>
      <c r="N38" s="49"/>
      <c r="O38" s="24">
        <f t="shared" si="1"/>
        <v>1.03</v>
      </c>
      <c r="P38" s="24"/>
      <c r="Q38" s="24" t="s">
        <v>32</v>
      </c>
      <c r="R38" s="49"/>
      <c r="S38" s="24">
        <f t="shared" si="0"/>
        <v>0.65239293649479857</v>
      </c>
    </row>
    <row r="39" spans="1:19" ht="16.399999999999999" customHeight="1">
      <c r="A39" s="91">
        <f>+'Exhibit 4.1'!B38</f>
        <v>2016</v>
      </c>
      <c r="B39" s="49"/>
      <c r="C39" s="24">
        <f>SUMIFS('Exhibit 5.1'!G:G,'Exhibit 5.1'!A:A,$A39)</f>
        <v>1.3932496980773312</v>
      </c>
      <c r="D39" s="49"/>
      <c r="E39" s="445">
        <v>1.1482060818297204</v>
      </c>
      <c r="F39" s="24"/>
      <c r="G39" s="445">
        <v>0.54299559467414782</v>
      </c>
      <c r="H39" s="49"/>
      <c r="I39" s="24">
        <f t="shared" si="2"/>
        <v>0.47290778481930595</v>
      </c>
      <c r="J39" s="49"/>
      <c r="K39" s="445">
        <v>1</v>
      </c>
      <c r="L39" s="49"/>
      <c r="M39" s="445">
        <v>0.94899999999999995</v>
      </c>
      <c r="N39" s="49"/>
      <c r="O39" s="24">
        <f t="shared" si="1"/>
        <v>1.03</v>
      </c>
      <c r="P39" s="24"/>
      <c r="Q39" s="24" t="s">
        <v>32</v>
      </c>
      <c r="R39" s="49"/>
      <c r="S39" s="24">
        <f t="shared" si="0"/>
        <v>0.67406532007930431</v>
      </c>
    </row>
    <row r="40" spans="1:19" s="101" customFormat="1" ht="16.399999999999999" customHeight="1">
      <c r="A40" s="103">
        <f>+'Exhibit 4.1'!B39</f>
        <v>2017</v>
      </c>
      <c r="B40" s="49"/>
      <c r="C40" s="24">
        <f>SUMIFS('Exhibit 5.1'!G:G,'Exhibit 5.1'!A:A,$A40)</f>
        <v>1.3345303621430376</v>
      </c>
      <c r="D40" s="49"/>
      <c r="E40" s="445">
        <v>1.156098460123975</v>
      </c>
      <c r="F40" s="24"/>
      <c r="G40" s="445">
        <v>0.60124165051023948</v>
      </c>
      <c r="H40" s="49"/>
      <c r="I40" s="24">
        <f t="shared" si="2"/>
        <v>0.52006093879388515</v>
      </c>
      <c r="J40" s="49"/>
      <c r="K40" s="445">
        <v>1</v>
      </c>
      <c r="L40" s="49"/>
      <c r="M40" s="445">
        <v>0.95499999999999996</v>
      </c>
      <c r="N40" s="49"/>
      <c r="O40" s="24">
        <f t="shared" si="1"/>
        <v>1.03</v>
      </c>
      <c r="P40" s="24"/>
      <c r="Q40" s="24" t="s">
        <v>32</v>
      </c>
      <c r="R40" s="49"/>
      <c r="S40" s="24">
        <f t="shared" si="0"/>
        <v>0.70557323538357308</v>
      </c>
    </row>
    <row r="41" spans="1:19" s="166" customFormat="1" ht="16.399999999999999" customHeight="1">
      <c r="A41" s="145">
        <f>+'Exhibit 4.1'!B40</f>
        <v>2018</v>
      </c>
      <c r="B41" s="49"/>
      <c r="C41" s="24">
        <f>SUMIFS('Exhibit 5.1'!G:G,'Exhibit 5.1'!A:A,$A41)</f>
        <v>1.286914524728098</v>
      </c>
      <c r="D41" s="49"/>
      <c r="E41" s="445">
        <v>1.195959402714087</v>
      </c>
      <c r="F41" s="24"/>
      <c r="G41" s="445">
        <v>0.67965474839400541</v>
      </c>
      <c r="H41" s="49"/>
      <c r="I41" s="24">
        <f t="shared" ref="I41" si="4">G41/E41</f>
        <v>0.56829249124310588</v>
      </c>
      <c r="J41" s="49"/>
      <c r="K41" s="445">
        <v>1</v>
      </c>
      <c r="L41" s="49"/>
      <c r="M41" s="445">
        <v>0.95599999999999996</v>
      </c>
      <c r="N41" s="49"/>
      <c r="O41" s="24">
        <f t="shared" si="1"/>
        <v>1.03</v>
      </c>
      <c r="P41" s="24"/>
      <c r="Q41" s="24" t="s">
        <v>32</v>
      </c>
      <c r="R41" s="49"/>
      <c r="S41" s="24">
        <f t="shared" si="0"/>
        <v>0.74272236795168833</v>
      </c>
    </row>
    <row r="42" spans="1:19" s="229" customFormat="1" ht="16.399999999999999" customHeight="1">
      <c r="A42" s="145">
        <f>+'Exhibit 4.1'!B41</f>
        <v>2019</v>
      </c>
      <c r="B42" s="49"/>
      <c r="C42" s="24">
        <f>SUMIFS('Exhibit 5.1'!G:G,'Exhibit 5.1'!A:A,$A42)</f>
        <v>1.2326767478238485</v>
      </c>
      <c r="D42" s="49"/>
      <c r="E42" s="445">
        <v>1.2152304319626044</v>
      </c>
      <c r="F42" s="24"/>
      <c r="G42" s="445">
        <v>0.78987665453469513</v>
      </c>
      <c r="H42" s="49"/>
      <c r="I42" s="24">
        <f t="shared" ref="I42" si="5">G42/E42</f>
        <v>0.64998096966600782</v>
      </c>
      <c r="J42" s="49"/>
      <c r="K42" s="445">
        <v>1</v>
      </c>
      <c r="L42" s="49"/>
      <c r="M42" s="445">
        <v>0.94499999999999995</v>
      </c>
      <c r="N42" s="49"/>
      <c r="O42" s="24">
        <f t="shared" si="1"/>
        <v>1.03</v>
      </c>
      <c r="P42" s="24"/>
      <c r="Q42" s="23" t="s">
        <v>32</v>
      </c>
      <c r="R42" s="374"/>
      <c r="S42" s="24">
        <f t="shared" si="0"/>
        <v>0.82315346775084608</v>
      </c>
    </row>
    <row r="43" spans="1:19" s="173" customFormat="1" ht="16.399999999999999" customHeight="1">
      <c r="A43" s="145">
        <f>+'Exhibit 4.1'!B42</f>
        <v>2020</v>
      </c>
      <c r="B43" s="49"/>
      <c r="C43" s="24">
        <f>SUMIFS('Exhibit 5.1'!G:G,'Exhibit 5.1'!A:A,$A43)</f>
        <v>1.1752090264313553</v>
      </c>
      <c r="D43" s="49"/>
      <c r="E43" s="445">
        <v>1.2074750781874237</v>
      </c>
      <c r="F43" s="24"/>
      <c r="G43" s="445">
        <v>0.880694377676008</v>
      </c>
      <c r="H43" s="49"/>
      <c r="I43" s="24">
        <f>G43/E43</f>
        <v>0.72936857545585465</v>
      </c>
      <c r="J43" s="49"/>
      <c r="K43" s="445">
        <v>1</v>
      </c>
      <c r="L43" s="49"/>
      <c r="M43" s="445">
        <v>0.94399999999999995</v>
      </c>
      <c r="N43" s="49"/>
      <c r="O43" s="24">
        <f t="shared" si="1"/>
        <v>1.03</v>
      </c>
      <c r="P43" s="24"/>
      <c r="Q43" s="445">
        <v>0.99</v>
      </c>
      <c r="R43" s="374"/>
      <c r="S43" s="24">
        <f t="shared" ref="S43:S45" si="6">(C43*I43*K43*Q43)/(M43*O43)</f>
        <v>0.87274655271555501</v>
      </c>
    </row>
    <row r="44" spans="1:19" s="229" customFormat="1" ht="16.399999999999999" customHeight="1">
      <c r="A44" s="145">
        <f>+'Exhibit 4.1'!B43</f>
        <v>2021</v>
      </c>
      <c r="B44" s="49"/>
      <c r="C44" s="24">
        <f>SUMIFS('Exhibit 5.1'!G:G,'Exhibit 5.1'!A:A,$A44)</f>
        <v>1.1055588207256399</v>
      </c>
      <c r="D44" s="49"/>
      <c r="E44" s="445">
        <v>1.2234589247123504</v>
      </c>
      <c r="F44" s="24"/>
      <c r="G44" s="445">
        <v>0.94897286113250812</v>
      </c>
      <c r="H44" s="49"/>
      <c r="I44" s="24">
        <f t="shared" ref="I44:I45" si="7">G44/E44</f>
        <v>0.77564750394511428</v>
      </c>
      <c r="J44" s="49"/>
      <c r="K44" s="445">
        <v>1</v>
      </c>
      <c r="L44" s="49"/>
      <c r="M44" s="445">
        <v>0.94799999999999995</v>
      </c>
      <c r="N44" s="49"/>
      <c r="O44" s="24">
        <f t="shared" si="1"/>
        <v>1.03</v>
      </c>
      <c r="P44" s="24"/>
      <c r="Q44" s="445">
        <v>1.0329999999999999</v>
      </c>
      <c r="R44" s="374"/>
      <c r="S44" s="24">
        <f t="shared" si="6"/>
        <v>0.90719576192335227</v>
      </c>
    </row>
    <row r="45" spans="1:19" s="133" customFormat="1" ht="16.399999999999999" customHeight="1">
      <c r="A45" s="145">
        <f>+'Exhibit 4.1'!B44</f>
        <v>2022</v>
      </c>
      <c r="B45" s="49"/>
      <c r="C45" s="24">
        <f>SUMIFS('Exhibit 5.1'!G:G,'Exhibit 5.1'!A:A,$A45)</f>
        <v>1.0770178477599999</v>
      </c>
      <c r="D45" s="49"/>
      <c r="E45" s="445">
        <v>1.1874893366539234</v>
      </c>
      <c r="F45" s="24"/>
      <c r="G45" s="445">
        <v>0.99031648342465473</v>
      </c>
      <c r="H45" s="49"/>
      <c r="I45" s="24">
        <f t="shared" si="7"/>
        <v>0.83395821154499183</v>
      </c>
      <c r="J45" s="49"/>
      <c r="K45" s="445">
        <v>1</v>
      </c>
      <c r="L45" s="49"/>
      <c r="M45" s="445">
        <v>0.95899999999999996</v>
      </c>
      <c r="N45" s="49"/>
      <c r="O45" s="24">
        <f t="shared" si="1"/>
        <v>1.03</v>
      </c>
      <c r="P45" s="24"/>
      <c r="Q45" s="445">
        <v>0.99299999999999999</v>
      </c>
      <c r="R45" s="374"/>
      <c r="S45" s="24">
        <f t="shared" si="6"/>
        <v>0.90294356274550347</v>
      </c>
    </row>
    <row r="46" spans="1:19" ht="16.399999999999999" customHeight="1">
      <c r="A46" s="91"/>
      <c r="B46" s="91"/>
      <c r="C46" s="25"/>
      <c r="D46" s="25"/>
      <c r="E46" s="25"/>
      <c r="F46" s="25"/>
      <c r="G46" s="25"/>
      <c r="H46" s="25"/>
      <c r="I46" s="34"/>
      <c r="J46" s="25"/>
      <c r="K46" s="25"/>
      <c r="L46" s="25"/>
      <c r="M46" s="25"/>
      <c r="N46" s="25"/>
      <c r="O46" s="25"/>
      <c r="P46" s="25"/>
      <c r="Q46" s="25"/>
      <c r="R46" s="25"/>
      <c r="S46" s="25"/>
    </row>
    <row r="47" spans="1:19" ht="16.399999999999999" customHeight="1">
      <c r="A47" s="25" t="s">
        <v>22</v>
      </c>
      <c r="B47" s="40" t="s">
        <v>159</v>
      </c>
      <c r="C47" s="91"/>
      <c r="D47" s="91"/>
      <c r="E47" s="91"/>
      <c r="F47" s="91"/>
      <c r="G47" s="91"/>
      <c r="H47" s="91"/>
      <c r="I47" s="31"/>
      <c r="J47" s="91"/>
      <c r="K47" s="91"/>
      <c r="L47" s="91"/>
      <c r="M47" s="91"/>
      <c r="N47" s="91"/>
      <c r="O47" s="91"/>
      <c r="P47" s="91"/>
      <c r="Q47" s="91"/>
      <c r="R47" s="91"/>
      <c r="S47" s="91"/>
    </row>
    <row r="48" spans="1:19" ht="16.399999999999999" customHeight="1">
      <c r="A48" s="25" t="s">
        <v>28</v>
      </c>
      <c r="B48" s="528" t="s">
        <v>160</v>
      </c>
      <c r="C48" s="528"/>
      <c r="D48" s="528"/>
      <c r="E48" s="528"/>
      <c r="F48" s="528"/>
      <c r="G48" s="528"/>
      <c r="H48" s="528"/>
      <c r="I48" s="528"/>
      <c r="J48" s="528"/>
      <c r="K48" s="528"/>
      <c r="L48" s="528"/>
      <c r="M48" s="528"/>
      <c r="N48" s="528"/>
      <c r="O48" s="528"/>
      <c r="P48" s="528"/>
      <c r="Q48" s="528"/>
      <c r="R48" s="528"/>
      <c r="S48" s="528"/>
    </row>
    <row r="49" spans="1:19" ht="16.399999999999999" customHeight="1">
      <c r="A49" s="25"/>
      <c r="B49" s="528" t="s">
        <v>161</v>
      </c>
      <c r="C49" s="528"/>
      <c r="D49" s="528"/>
      <c r="E49" s="528"/>
      <c r="F49" s="528"/>
      <c r="G49" s="528"/>
      <c r="H49" s="528"/>
      <c r="I49" s="528"/>
      <c r="J49" s="528"/>
      <c r="K49" s="528"/>
      <c r="L49" s="528"/>
      <c r="M49" s="528"/>
      <c r="N49" s="528"/>
      <c r="O49" s="528"/>
      <c r="P49" s="528"/>
      <c r="Q49" s="528"/>
      <c r="R49" s="528"/>
      <c r="S49" s="528"/>
    </row>
    <row r="50" spans="1:19" ht="16.399999999999999" customHeight="1">
      <c r="A50" s="25" t="s">
        <v>38</v>
      </c>
      <c r="B50" s="529" t="s">
        <v>460</v>
      </c>
      <c r="C50" s="529"/>
      <c r="D50" s="529"/>
      <c r="E50" s="529"/>
      <c r="F50" s="529"/>
      <c r="G50" s="529"/>
      <c r="H50" s="529"/>
      <c r="I50" s="529"/>
      <c r="J50" s="529"/>
      <c r="K50" s="529"/>
      <c r="L50" s="529"/>
      <c r="M50" s="529"/>
      <c r="N50" s="529"/>
      <c r="O50" s="529"/>
      <c r="P50" s="529"/>
      <c r="Q50" s="529"/>
      <c r="R50" s="529"/>
      <c r="S50" s="529"/>
    </row>
    <row r="51" spans="1:19" ht="16.399999999999999" customHeight="1">
      <c r="A51" s="25" t="s">
        <v>57</v>
      </c>
      <c r="B51" s="39" t="s">
        <v>461</v>
      </c>
      <c r="C51" s="91"/>
      <c r="D51" s="91"/>
      <c r="E51" s="91"/>
      <c r="F51" s="91"/>
      <c r="G51" s="91"/>
      <c r="H51" s="91"/>
      <c r="I51" s="31"/>
      <c r="J51" s="91"/>
      <c r="K51" s="91"/>
      <c r="L51" s="91"/>
      <c r="M51" s="91"/>
      <c r="N51" s="91"/>
      <c r="O51" s="91"/>
      <c r="P51" s="91"/>
      <c r="Q51" s="91"/>
      <c r="R51" s="91"/>
      <c r="S51" s="91"/>
    </row>
    <row r="52" spans="1:19" ht="16.399999999999999" customHeight="1">
      <c r="A52" s="25"/>
      <c r="B52" s="39" t="s">
        <v>499</v>
      </c>
      <c r="C52" s="91"/>
      <c r="D52" s="91"/>
      <c r="E52" s="91"/>
      <c r="F52" s="91"/>
      <c r="G52" s="91"/>
      <c r="H52" s="91"/>
      <c r="I52" s="31"/>
      <c r="J52" s="91"/>
      <c r="K52" s="91"/>
      <c r="L52" s="91"/>
      <c r="M52" s="91"/>
      <c r="N52" s="91"/>
      <c r="O52" s="91"/>
      <c r="P52" s="91"/>
      <c r="Q52" s="91"/>
      <c r="R52" s="91"/>
      <c r="S52" s="91"/>
    </row>
    <row r="53" spans="1:19" ht="16.399999999999999" customHeight="1">
      <c r="A53" s="25" t="s">
        <v>41</v>
      </c>
      <c r="B53" s="39" t="s">
        <v>162</v>
      </c>
      <c r="C53" s="91"/>
      <c r="D53" s="91"/>
      <c r="E53" s="91"/>
      <c r="F53" s="91"/>
      <c r="G53" s="91"/>
      <c r="H53" s="91"/>
      <c r="I53" s="31"/>
      <c r="J53" s="91"/>
      <c r="K53" s="91"/>
      <c r="L53" s="91"/>
      <c r="M53" s="91"/>
      <c r="N53" s="91"/>
      <c r="O53" s="91"/>
      <c r="P53" s="91"/>
      <c r="Q53" s="91"/>
      <c r="R53" s="91"/>
      <c r="S53" s="91"/>
    </row>
    <row r="54" spans="1:19" ht="16.399999999999999" customHeight="1">
      <c r="A54" s="25" t="s">
        <v>76</v>
      </c>
      <c r="B54" s="527" t="s">
        <v>163</v>
      </c>
      <c r="C54" s="527"/>
      <c r="D54" s="527"/>
      <c r="E54" s="527"/>
      <c r="F54" s="527"/>
      <c r="G54" s="527"/>
      <c r="H54" s="527"/>
      <c r="I54" s="527"/>
      <c r="J54" s="527"/>
      <c r="K54" s="527"/>
      <c r="L54" s="527"/>
      <c r="M54" s="527"/>
      <c r="N54" s="527"/>
      <c r="O54" s="527"/>
      <c r="P54" s="527"/>
      <c r="Q54" s="527"/>
      <c r="R54" s="527"/>
      <c r="S54" s="527"/>
    </row>
    <row r="55" spans="1:19" ht="16.399999999999999" customHeight="1">
      <c r="A55" s="25"/>
      <c r="B55" s="527" t="s">
        <v>164</v>
      </c>
      <c r="C55" s="527"/>
      <c r="D55" s="527"/>
      <c r="E55" s="527"/>
      <c r="F55" s="527"/>
      <c r="G55" s="527"/>
      <c r="H55" s="527"/>
      <c r="I55" s="527"/>
      <c r="J55" s="527"/>
      <c r="K55" s="527"/>
      <c r="L55" s="527"/>
      <c r="M55" s="527"/>
      <c r="N55" s="527"/>
      <c r="O55" s="527"/>
      <c r="P55" s="527"/>
      <c r="Q55" s="527"/>
      <c r="R55" s="90"/>
      <c r="S55" s="90"/>
    </row>
    <row r="56" spans="1:19" ht="16.399999999999999" customHeight="1">
      <c r="A56" s="25" t="s">
        <v>165</v>
      </c>
      <c r="B56" s="123" t="s">
        <v>166</v>
      </c>
      <c r="C56" s="31"/>
      <c r="D56" s="31"/>
      <c r="E56" s="91"/>
      <c r="F56" s="91"/>
      <c r="G56" s="91"/>
      <c r="H56" s="91"/>
      <c r="I56" s="31"/>
      <c r="J56" s="91"/>
      <c r="K56" s="91"/>
      <c r="L56" s="91"/>
      <c r="M56" s="91"/>
      <c r="N56" s="91"/>
      <c r="O56" s="91"/>
      <c r="P56" s="91"/>
      <c r="Q56" s="91"/>
      <c r="R56" s="91"/>
      <c r="S56" s="91"/>
    </row>
    <row r="57" spans="1:19" ht="16.399999999999999" customHeight="1">
      <c r="A57" s="91"/>
      <c r="B57" s="123" t="s">
        <v>462</v>
      </c>
      <c r="C57" s="31"/>
      <c r="D57" s="31"/>
      <c r="E57" s="91"/>
      <c r="F57" s="91"/>
      <c r="G57" s="91"/>
      <c r="H57" s="91"/>
      <c r="I57" s="31"/>
      <c r="J57" s="91"/>
      <c r="K57" s="91"/>
      <c r="L57" s="91"/>
      <c r="M57" s="91"/>
      <c r="N57" s="91"/>
      <c r="O57" s="91"/>
      <c r="P57" s="91"/>
      <c r="Q57" s="91"/>
      <c r="R57" s="91"/>
      <c r="S57" s="91"/>
    </row>
    <row r="58" spans="1:19" ht="16.399999999999999" customHeight="1">
      <c r="A58" s="91"/>
      <c r="B58" s="123" t="s">
        <v>441</v>
      </c>
      <c r="C58" s="31"/>
      <c r="D58" s="31"/>
      <c r="E58" s="91"/>
      <c r="F58" s="91"/>
      <c r="G58" s="91"/>
      <c r="H58" s="91"/>
      <c r="I58" s="31"/>
      <c r="J58" s="91"/>
      <c r="K58" s="91"/>
      <c r="L58" s="91"/>
      <c r="M58" s="91"/>
      <c r="N58" s="91"/>
      <c r="O58" s="91"/>
      <c r="P58" s="91"/>
      <c r="Q58" s="91"/>
      <c r="R58" s="91"/>
      <c r="S58" s="91"/>
    </row>
    <row r="59" spans="1:19" ht="16.399999999999999" customHeight="1">
      <c r="A59" s="25" t="s">
        <v>167</v>
      </c>
      <c r="B59" s="123" t="s">
        <v>463</v>
      </c>
      <c r="C59" s="31"/>
      <c r="D59" s="31"/>
      <c r="E59" s="91"/>
      <c r="F59" s="91"/>
      <c r="G59" s="91"/>
      <c r="H59" s="91"/>
      <c r="I59" s="31"/>
      <c r="J59" s="91"/>
      <c r="K59" s="91"/>
      <c r="L59" s="91"/>
      <c r="M59" s="91"/>
      <c r="N59" s="91"/>
      <c r="O59" s="91"/>
      <c r="P59" s="91"/>
      <c r="Q59" s="91"/>
      <c r="R59" s="91"/>
      <c r="S59" s="91"/>
    </row>
    <row r="60" spans="1:19">
      <c r="B60" s="371"/>
      <c r="C60" s="371"/>
      <c r="D60" s="371"/>
    </row>
  </sheetData>
  <mergeCells count="5">
    <mergeCell ref="B54:S54"/>
    <mergeCell ref="B55:Q55"/>
    <mergeCell ref="B48:S48"/>
    <mergeCell ref="B49:S49"/>
    <mergeCell ref="B50:S50"/>
  </mergeCells>
  <printOptions horizontalCentered="1"/>
  <pageMargins left="0.5" right="0.5" top="0.75" bottom="0.75" header="0.33" footer="0.33"/>
  <pageSetup scale="69" orientation="portrait" blackAndWhite="1" horizontalDpi="1200" verticalDpi="1200" r:id="rId1"/>
  <headerFooter scaleWithDoc="0">
    <oddHeader>&amp;R&amp;"Arial,Regular"&amp;10Exhibit 5.2</oddHeader>
  </headerFooter>
  <ignoredErrors>
    <ignoredError sqref="C3:S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J83"/>
  <sheetViews>
    <sheetView tabSelected="1" zoomScaleNormal="100" zoomScaleSheetLayoutView="100" workbookViewId="0"/>
  </sheetViews>
  <sheetFormatPr defaultColWidth="9.1796875" defaultRowHeight="12.5"/>
  <cols>
    <col min="1" max="1" width="9.453125" style="89" customWidth="1"/>
    <col min="2" max="8" width="16.81640625" style="89" customWidth="1"/>
    <col min="9" max="9" width="9.1796875" style="56"/>
    <col min="10" max="10" width="22.453125" style="56" bestFit="1" customWidth="1"/>
    <col min="11" max="16384" width="9.1796875" style="56"/>
  </cols>
  <sheetData>
    <row r="1" spans="1:10" ht="12.75" customHeight="1">
      <c r="A1" s="97" t="s">
        <v>415</v>
      </c>
      <c r="B1" s="98"/>
      <c r="C1" s="98"/>
      <c r="D1" s="98"/>
      <c r="E1" s="98"/>
      <c r="F1" s="98"/>
      <c r="G1" s="98"/>
      <c r="H1" s="98"/>
      <c r="I1" s="78"/>
      <c r="J1" s="95"/>
    </row>
    <row r="2" spans="1:10" ht="12.75" customHeight="1">
      <c r="A2" s="141" t="s">
        <v>474</v>
      </c>
      <c r="B2" s="230"/>
      <c r="C2" s="230"/>
      <c r="D2" s="230"/>
      <c r="E2" s="230"/>
      <c r="F2" s="230"/>
      <c r="G2" s="230"/>
      <c r="H2" s="230"/>
      <c r="I2" s="78"/>
    </row>
    <row r="3" spans="1:10" ht="12.75" customHeight="1">
      <c r="A3" s="141"/>
      <c r="B3" s="19"/>
      <c r="C3" s="19"/>
      <c r="D3" s="19"/>
      <c r="E3" s="19"/>
      <c r="F3" s="19"/>
      <c r="G3" s="19"/>
      <c r="H3" s="19"/>
      <c r="I3" s="78"/>
      <c r="J3" s="375"/>
    </row>
    <row r="4" spans="1:10" ht="14.5">
      <c r="A4" s="229"/>
      <c r="B4" s="19" t="s">
        <v>168</v>
      </c>
      <c r="C4" s="19" t="s">
        <v>169</v>
      </c>
      <c r="D4" s="19"/>
      <c r="E4" s="19"/>
      <c r="F4" s="19"/>
      <c r="G4" s="141"/>
      <c r="H4" s="19"/>
      <c r="I4" s="78"/>
      <c r="J4" s="382"/>
    </row>
    <row r="5" spans="1:10" ht="14.5">
      <c r="A5" s="229"/>
      <c r="B5" s="19" t="s">
        <v>170</v>
      </c>
      <c r="C5" s="231" t="s">
        <v>171</v>
      </c>
      <c r="D5" s="231"/>
      <c r="E5" s="231"/>
      <c r="F5" s="232" t="s">
        <v>172</v>
      </c>
      <c r="G5" s="232"/>
      <c r="H5" s="232" t="s">
        <v>173</v>
      </c>
      <c r="I5" s="78"/>
      <c r="J5" s="381"/>
    </row>
    <row r="6" spans="1:10" ht="14.5">
      <c r="A6" s="229"/>
      <c r="B6" s="19" t="s">
        <v>174</v>
      </c>
      <c r="C6" s="19" t="s">
        <v>429</v>
      </c>
      <c r="D6" s="19"/>
      <c r="E6" s="19"/>
      <c r="F6" s="145" t="s">
        <v>3</v>
      </c>
      <c r="G6" s="145" t="s">
        <v>21</v>
      </c>
      <c r="H6" s="145" t="s">
        <v>175</v>
      </c>
      <c r="I6" s="78"/>
    </row>
    <row r="7" spans="1:10" ht="14.5">
      <c r="A7" s="228" t="s">
        <v>176</v>
      </c>
      <c r="B7" s="233" t="s">
        <v>116</v>
      </c>
      <c r="C7" s="233" t="s">
        <v>116</v>
      </c>
      <c r="D7" s="233" t="s">
        <v>21</v>
      </c>
      <c r="E7" s="233" t="s">
        <v>177</v>
      </c>
      <c r="F7" s="228" t="s">
        <v>178</v>
      </c>
      <c r="G7" s="228" t="s">
        <v>179</v>
      </c>
      <c r="H7" s="234" t="s">
        <v>180</v>
      </c>
      <c r="I7" s="78"/>
    </row>
    <row r="8" spans="1:10" ht="12.75" customHeight="1">
      <c r="A8" s="145">
        <v>1979</v>
      </c>
      <c r="B8" s="466">
        <v>4.9972456646030228E-3</v>
      </c>
      <c r="C8" s="467">
        <v>4.9848008750477358E-3</v>
      </c>
      <c r="D8" s="468">
        <v>1.8294554288919677E-2</v>
      </c>
      <c r="E8" s="468">
        <v>7.7922643180994455E-2</v>
      </c>
      <c r="F8" s="467">
        <v>0</v>
      </c>
      <c r="G8" s="467">
        <v>-5.96280888920733E-2</v>
      </c>
      <c r="H8" s="467">
        <v>0.12876000233996901</v>
      </c>
      <c r="I8" s="78"/>
    </row>
    <row r="9" spans="1:10" ht="12.75" customHeight="1">
      <c r="A9" s="145">
        <v>1980</v>
      </c>
      <c r="B9" s="466">
        <v>-6.5371990248935918E-2</v>
      </c>
      <c r="C9" s="467">
        <v>-6.7606679390592436E-2</v>
      </c>
      <c r="D9" s="468">
        <v>-0.13190211901277424</v>
      </c>
      <c r="E9" s="468">
        <v>-6.5507403727478736E-2</v>
      </c>
      <c r="F9" s="467">
        <v>0</v>
      </c>
      <c r="G9" s="467">
        <v>-6.6394715285293504E-2</v>
      </c>
      <c r="H9" s="467">
        <v>-7.88269708515663E-2</v>
      </c>
      <c r="I9" s="78"/>
    </row>
    <row r="10" spans="1:10" ht="12.75" customHeight="1">
      <c r="A10" s="145">
        <v>1981</v>
      </c>
      <c r="B10" s="466">
        <v>-3.5389954469314588E-2</v>
      </c>
      <c r="C10" s="467">
        <v>-3.6031357208370959E-2</v>
      </c>
      <c r="D10" s="468">
        <v>-2.7881154368458588E-2</v>
      </c>
      <c r="E10" s="468">
        <v>-3.628982490034155E-2</v>
      </c>
      <c r="F10" s="467">
        <v>3.3258233100083939E-2</v>
      </c>
      <c r="G10" s="467">
        <v>8.4086705318866493E-3</v>
      </c>
      <c r="H10" s="467">
        <v>-7.6518387038648897E-2</v>
      </c>
      <c r="I10" s="78"/>
    </row>
    <row r="11" spans="1:10" ht="12.75" customHeight="1">
      <c r="A11" s="145">
        <v>1982</v>
      </c>
      <c r="B11" s="466">
        <v>-1.5933882671557487E-2</v>
      </c>
      <c r="C11" s="467">
        <v>-1.6062191780238516E-2</v>
      </c>
      <c r="D11" s="468">
        <v>0.15335632955323672</v>
      </c>
      <c r="E11" s="468">
        <v>-2.1958817310072262E-2</v>
      </c>
      <c r="F11" s="467">
        <v>0</v>
      </c>
      <c r="G11" s="467">
        <v>0.17531514686331301</v>
      </c>
      <c r="H11" s="467">
        <v>-0.28544529024901699</v>
      </c>
      <c r="I11" s="78"/>
    </row>
    <row r="12" spans="1:10" ht="12.75" customHeight="1">
      <c r="A12" s="145">
        <v>1983</v>
      </c>
      <c r="B12" s="466">
        <v>6.2017439618469172E-2</v>
      </c>
      <c r="C12" s="467">
        <v>6.0170344171233452E-2</v>
      </c>
      <c r="D12" s="468">
        <v>0.21350945822797299</v>
      </c>
      <c r="E12" s="468">
        <v>5.386162112611205E-2</v>
      </c>
      <c r="F12" s="467">
        <v>0.35238649210176365</v>
      </c>
      <c r="G12" s="467">
        <v>0.15964783710185501</v>
      </c>
      <c r="H12" s="467">
        <v>2.7918773504908598E-2</v>
      </c>
      <c r="I12" s="78"/>
    </row>
    <row r="13" spans="1:10" ht="12.75" customHeight="1">
      <c r="A13" s="145">
        <v>1984</v>
      </c>
      <c r="B13" s="466">
        <v>9.5255937939166646E-2</v>
      </c>
      <c r="C13" s="467">
        <v>9.0988069234874971E-2</v>
      </c>
      <c r="D13" s="468">
        <v>0.23540351761996109</v>
      </c>
      <c r="E13" s="468">
        <v>8.4047620456068436E-2</v>
      </c>
      <c r="F13" s="467">
        <v>8.1444237360177044E-2</v>
      </c>
      <c r="G13" s="467">
        <v>0.151355897163892</v>
      </c>
      <c r="H13" s="467">
        <v>0.215065459758501</v>
      </c>
      <c r="I13" s="78"/>
    </row>
    <row r="14" spans="1:10" ht="12.75" customHeight="1">
      <c r="A14" s="145">
        <v>1985</v>
      </c>
      <c r="B14" s="466">
        <v>2.0483696119511174E-2</v>
      </c>
      <c r="C14" s="467">
        <v>2.0276726775132755E-2</v>
      </c>
      <c r="D14" s="468">
        <v>0.1378769858883975</v>
      </c>
      <c r="E14" s="468">
        <v>1.3792378504734085E-2</v>
      </c>
      <c r="F14" s="467">
        <v>0</v>
      </c>
      <c r="G14" s="467">
        <v>0.124084607383663</v>
      </c>
      <c r="H14" s="467">
        <v>7.7397976596840806E-2</v>
      </c>
      <c r="I14" s="78"/>
    </row>
    <row r="15" spans="1:10" ht="12.75" customHeight="1">
      <c r="A15" s="145">
        <v>1986</v>
      </c>
      <c r="B15" s="466">
        <v>-2.3849790142426386E-2</v>
      </c>
      <c r="C15" s="467">
        <v>-2.4138800868383867E-2</v>
      </c>
      <c r="D15" s="468">
        <v>3.8775184414802606E-2</v>
      </c>
      <c r="E15" s="468">
        <v>-2.7953512586044824E-2</v>
      </c>
      <c r="F15" s="467">
        <v>0</v>
      </c>
      <c r="G15" s="467">
        <v>6.6728697000844897E-2</v>
      </c>
      <c r="H15" s="467">
        <v>7.4559293885217107E-2</v>
      </c>
      <c r="I15" s="78"/>
    </row>
    <row r="16" spans="1:10" ht="12.75" customHeight="1">
      <c r="A16" s="145">
        <v>1987</v>
      </c>
      <c r="B16" s="466">
        <v>1.5326175924416763E-2</v>
      </c>
      <c r="C16" s="467">
        <v>1.5209916460660652E-2</v>
      </c>
      <c r="D16" s="468">
        <v>5.3487369963934488E-2</v>
      </c>
      <c r="E16" s="468">
        <v>1.2761194149370611E-2</v>
      </c>
      <c r="F16" s="467">
        <v>0</v>
      </c>
      <c r="G16" s="467">
        <v>4.0726175814564898E-2</v>
      </c>
      <c r="H16" s="467">
        <v>0.144475699575668</v>
      </c>
      <c r="I16" s="78"/>
    </row>
    <row r="17" spans="1:9" ht="12.75" customHeight="1">
      <c r="A17" s="145">
        <v>1988</v>
      </c>
      <c r="B17" s="466">
        <v>6.9456906847420452E-3</v>
      </c>
      <c r="C17" s="467">
        <v>6.9216804893448263E-3</v>
      </c>
      <c r="D17" s="468">
        <v>0.10414137893727879</v>
      </c>
      <c r="E17" s="468">
        <v>2.3346128480785877E-4</v>
      </c>
      <c r="F17" s="467">
        <v>0</v>
      </c>
      <c r="G17" s="467">
        <v>0.10390791765247399</v>
      </c>
      <c r="H17" s="467">
        <v>8.3904452181976105E-2</v>
      </c>
      <c r="I17" s="78"/>
    </row>
    <row r="18" spans="1:9" ht="12.75" customHeight="1">
      <c r="A18" s="145">
        <v>1989</v>
      </c>
      <c r="B18" s="466">
        <v>2.4721858982621026E-2</v>
      </c>
      <c r="C18" s="467">
        <v>2.4421218676248704E-2</v>
      </c>
      <c r="D18" s="468">
        <v>0.21197872257672296</v>
      </c>
      <c r="E18" s="468">
        <v>9.3651842607333936E-3</v>
      </c>
      <c r="F18" s="467">
        <v>0</v>
      </c>
      <c r="G18" s="467">
        <v>0.20261353831598999</v>
      </c>
      <c r="H18" s="467">
        <v>4.2268308382561202E-2</v>
      </c>
      <c r="I18" s="78"/>
    </row>
    <row r="19" spans="1:9" ht="12.75" customHeight="1">
      <c r="A19" s="145">
        <v>1990</v>
      </c>
      <c r="B19" s="466">
        <v>9.0429349152393312E-2</v>
      </c>
      <c r="C19" s="467">
        <v>8.6571516988428868E-2</v>
      </c>
      <c r="D19" s="468">
        <v>0.33726499562944895</v>
      </c>
      <c r="E19" s="468">
        <v>6.0973634320393322E-2</v>
      </c>
      <c r="F19" s="467">
        <v>4.6028738573505555E-2</v>
      </c>
      <c r="G19" s="467">
        <v>0.27629136130905602</v>
      </c>
      <c r="H19" s="467">
        <v>-0.115935251900324</v>
      </c>
      <c r="I19" s="78"/>
    </row>
    <row r="20" spans="1:9" ht="12.75" customHeight="1">
      <c r="A20" s="145">
        <v>1991</v>
      </c>
      <c r="B20" s="466">
        <v>2.8122340615426289E-3</v>
      </c>
      <c r="C20" s="467">
        <v>2.808287129400617E-3</v>
      </c>
      <c r="D20" s="468">
        <v>0.16630851386937856</v>
      </c>
      <c r="E20" s="468">
        <v>-1.818056408251072E-2</v>
      </c>
      <c r="F20" s="467">
        <v>7.0942886375604683E-2</v>
      </c>
      <c r="G20" s="467">
        <v>0.18448907795189001</v>
      </c>
      <c r="H20" s="467">
        <v>-0.28233199712763402</v>
      </c>
      <c r="I20" s="78"/>
    </row>
    <row r="21" spans="1:9" ht="12.75" customHeight="1">
      <c r="A21" s="145">
        <v>1992</v>
      </c>
      <c r="B21" s="466">
        <v>-0.10274430288654202</v>
      </c>
      <c r="C21" s="467">
        <v>-0.10841439944718043</v>
      </c>
      <c r="D21" s="468">
        <v>-0.26267669266874077</v>
      </c>
      <c r="E21" s="468">
        <v>-8.8511383824486645E-2</v>
      </c>
      <c r="F21" s="467">
        <v>2.340777541294272E-2</v>
      </c>
      <c r="G21" s="467">
        <v>-0.17416530884425599</v>
      </c>
      <c r="H21" s="467">
        <v>-0.180947186291367</v>
      </c>
      <c r="I21" s="78"/>
    </row>
    <row r="22" spans="1:9" ht="12.75" customHeight="1">
      <c r="A22" s="145">
        <v>1993</v>
      </c>
      <c r="B22" s="466">
        <v>-9.2100766865830797E-2</v>
      </c>
      <c r="C22" s="467">
        <v>-9.6621883263699332E-2</v>
      </c>
      <c r="D22" s="468">
        <v>-0.17548826739845266</v>
      </c>
      <c r="E22" s="468">
        <v>-8.7702050296925946E-2</v>
      </c>
      <c r="F22" s="467">
        <v>1.3154751304001039E-2</v>
      </c>
      <c r="G22" s="467">
        <v>-8.7786217101524705E-2</v>
      </c>
      <c r="H22" s="467">
        <v>-2.12343647261568E-2</v>
      </c>
      <c r="I22" s="78"/>
    </row>
    <row r="23" spans="1:9" ht="12.75" customHeight="1">
      <c r="A23" s="145">
        <v>1994</v>
      </c>
      <c r="B23" s="466">
        <v>-0.10524780770719544</v>
      </c>
      <c r="C23" s="467">
        <v>-0.1112084791654304</v>
      </c>
      <c r="D23" s="468">
        <v>-0.16679990525604491</v>
      </c>
      <c r="E23" s="468">
        <v>-0.10537381633224024</v>
      </c>
      <c r="F23" s="467">
        <v>-5.6706294133613756E-2</v>
      </c>
      <c r="G23" s="467">
        <v>-6.1426088923810102E-2</v>
      </c>
      <c r="H23" s="467">
        <v>0.103314023361571</v>
      </c>
      <c r="I23" s="78"/>
    </row>
    <row r="24" spans="1:9" ht="12.75" customHeight="1">
      <c r="A24" s="145">
        <v>1995</v>
      </c>
      <c r="B24" s="466">
        <v>-2.8308620889189173E-3</v>
      </c>
      <c r="C24" s="467">
        <v>-2.8348765570625914E-3</v>
      </c>
      <c r="D24" s="468">
        <v>9.1735025720365536E-3</v>
      </c>
      <c r="E24" s="468">
        <v>-4.0650768679253062E-3</v>
      </c>
      <c r="F24" s="467">
        <v>6.1379405889037029E-2</v>
      </c>
      <c r="G24" s="467">
        <v>1.32385794399621E-2</v>
      </c>
      <c r="H24" s="467">
        <v>8.9143934974462505E-2</v>
      </c>
      <c r="I24" s="78"/>
    </row>
    <row r="25" spans="1:9" ht="12.75" customHeight="1">
      <c r="A25" s="145">
        <v>1996</v>
      </c>
      <c r="B25" s="466">
        <v>-6.7844046593998231E-2</v>
      </c>
      <c r="C25" s="467">
        <v>-7.0255146314291583E-2</v>
      </c>
      <c r="D25" s="468">
        <v>-0.16496505010750143</v>
      </c>
      <c r="E25" s="468">
        <v>-6.0979598470624896E-2</v>
      </c>
      <c r="F25" s="467">
        <v>5.2576129225968458E-2</v>
      </c>
      <c r="G25" s="467">
        <v>-0.10398545163687301</v>
      </c>
      <c r="H25" s="467">
        <v>7.1753037223279997E-2</v>
      </c>
      <c r="I25" s="78"/>
    </row>
    <row r="26" spans="1:9" ht="12.75" customHeight="1">
      <c r="A26" s="145">
        <v>1997</v>
      </c>
      <c r="B26" s="466">
        <v>-3.2852371568368066E-2</v>
      </c>
      <c r="C26" s="467">
        <v>-3.3404128757564142E-2</v>
      </c>
      <c r="D26" s="468">
        <v>-2.6277145593527035E-2</v>
      </c>
      <c r="E26" s="468">
        <v>-3.4069098550900914E-2</v>
      </c>
      <c r="F26" s="467">
        <v>9.5585116390051669E-2</v>
      </c>
      <c r="G26" s="467">
        <v>7.7919529573717804E-3</v>
      </c>
      <c r="H26" s="467">
        <v>0.132181874484671</v>
      </c>
      <c r="I26" s="78"/>
    </row>
    <row r="27" spans="1:9" ht="12.75" customHeight="1">
      <c r="A27" s="145">
        <v>1998</v>
      </c>
      <c r="B27" s="466">
        <v>-3.7308566262805321E-2</v>
      </c>
      <c r="C27" s="467">
        <v>-3.8022340402140087E-2</v>
      </c>
      <c r="D27" s="468">
        <v>-2.0445982502077041E-2</v>
      </c>
      <c r="E27" s="468">
        <v>-3.9684601784266145E-2</v>
      </c>
      <c r="F27" s="467">
        <v>6.5591055844175003E-2</v>
      </c>
      <c r="G27" s="467">
        <v>1.9238619282194901E-2</v>
      </c>
      <c r="H27" s="467">
        <v>7.4839079624147903E-2</v>
      </c>
      <c r="I27" s="78"/>
    </row>
    <row r="28" spans="1:9" ht="12.75" customHeight="1">
      <c r="A28" s="145">
        <v>1999</v>
      </c>
      <c r="B28" s="466">
        <v>1.4836945872499729E-2</v>
      </c>
      <c r="C28" s="467">
        <v>1.4727955128455832E-2</v>
      </c>
      <c r="D28" s="468">
        <v>9.7159051077356177E-3</v>
      </c>
      <c r="E28" s="468">
        <v>1.5205227568390281E-2</v>
      </c>
      <c r="F28" s="467">
        <v>5.7708699010089543E-2</v>
      </c>
      <c r="G28" s="467">
        <v>-5.4893224606593601E-3</v>
      </c>
      <c r="H28" s="467">
        <v>0.12169897764939699</v>
      </c>
      <c r="I28" s="78"/>
    </row>
    <row r="29" spans="1:9" ht="12.75" customHeight="1">
      <c r="A29" s="145">
        <v>2000</v>
      </c>
      <c r="B29" s="466">
        <v>3.9606227581345577E-2</v>
      </c>
      <c r="C29" s="467">
        <v>3.8842014130227878E-2</v>
      </c>
      <c r="D29" s="468">
        <v>0.10058721168046868</v>
      </c>
      <c r="E29" s="468">
        <v>3.2775276710437048E-2</v>
      </c>
      <c r="F29" s="467">
        <v>3.9845917280876893E-2</v>
      </c>
      <c r="G29" s="467">
        <v>6.7811934970033197E-2</v>
      </c>
      <c r="H29" s="467">
        <v>6.2485780883379902E-2</v>
      </c>
      <c r="I29" s="78"/>
    </row>
    <row r="30" spans="1:9" ht="12.75" customHeight="1">
      <c r="A30" s="145">
        <v>2001</v>
      </c>
      <c r="B30" s="466">
        <v>-6.9072722436252842E-2</v>
      </c>
      <c r="C30" s="467">
        <v>-7.1574116932411169E-2</v>
      </c>
      <c r="D30" s="468">
        <v>0.10567351083666204</v>
      </c>
      <c r="E30" s="468">
        <v>-9.1479091585121033E-2</v>
      </c>
      <c r="F30" s="467">
        <v>-3.103180999786116E-3</v>
      </c>
      <c r="G30" s="467">
        <v>0.19715260242178601</v>
      </c>
      <c r="H30" s="467">
        <v>-9.6135790991177403E-2</v>
      </c>
      <c r="I30" s="78"/>
    </row>
    <row r="31" spans="1:9" ht="12.75" customHeight="1">
      <c r="A31" s="145">
        <v>2002</v>
      </c>
      <c r="B31" s="466">
        <v>-2.310461956800558E-2</v>
      </c>
      <c r="C31" s="467">
        <v>-2.3375715137784289E-2</v>
      </c>
      <c r="D31" s="468">
        <v>0.20164317035850607</v>
      </c>
      <c r="E31" s="468">
        <v>-5.51079424389357E-2</v>
      </c>
      <c r="F31" s="467">
        <v>-7.349595133649695E-3</v>
      </c>
      <c r="G31" s="467">
        <v>0.25675111279744001</v>
      </c>
      <c r="H31" s="467">
        <v>-0.19409629287795199</v>
      </c>
      <c r="I31" s="78"/>
    </row>
    <row r="32" spans="1:9" ht="12.75" customHeight="1">
      <c r="A32" s="145">
        <v>2003</v>
      </c>
      <c r="B32" s="466">
        <v>-2.8519598461101969E-2</v>
      </c>
      <c r="C32" s="467">
        <v>-2.8934183771218144E-2</v>
      </c>
      <c r="D32" s="468">
        <v>2.8303637020571669E-2</v>
      </c>
      <c r="E32" s="468">
        <v>-3.8404467214064618E-2</v>
      </c>
      <c r="F32" s="467">
        <v>6.0028862535367128E-2</v>
      </c>
      <c r="G32" s="467">
        <v>6.670810423463E-2</v>
      </c>
      <c r="H32" s="467">
        <v>-2.2241815674591301E-2</v>
      </c>
      <c r="I32" s="78"/>
    </row>
    <row r="33" spans="1:9" ht="12.75" customHeight="1">
      <c r="A33" s="145">
        <v>2004</v>
      </c>
      <c r="B33" s="466">
        <v>-0.16665158342480912</v>
      </c>
      <c r="C33" s="467">
        <v>-0.18230345706752663</v>
      </c>
      <c r="D33" s="468">
        <v>-0.31848042186338554</v>
      </c>
      <c r="E33" s="468">
        <v>-0.16076125012172515</v>
      </c>
      <c r="F33" s="467">
        <v>-6.5341083840120134E-2</v>
      </c>
      <c r="G33" s="467">
        <v>-0.157719171741658</v>
      </c>
      <c r="H33" s="467">
        <v>8.9791627784284497E-2</v>
      </c>
      <c r="I33" s="78"/>
    </row>
    <row r="34" spans="1:9" ht="12.75" customHeight="1">
      <c r="A34" s="145">
        <v>2005</v>
      </c>
      <c r="B34" s="466">
        <v>-0.13594681298787559</v>
      </c>
      <c r="C34" s="467">
        <v>-0.14612095303095082</v>
      </c>
      <c r="D34" s="468">
        <v>-0.34228358003908321</v>
      </c>
      <c r="E34" s="468">
        <v>-0.12043254322148568</v>
      </c>
      <c r="F34" s="467">
        <v>-0.39778538419240267</v>
      </c>
      <c r="G34" s="467">
        <v>-0.22185103681759399</v>
      </c>
      <c r="H34" s="467">
        <v>0.13463861477487801</v>
      </c>
      <c r="I34" s="78"/>
    </row>
    <row r="35" spans="1:9" ht="12.75" customHeight="1">
      <c r="A35" s="145">
        <v>2006</v>
      </c>
      <c r="B35" s="466">
        <v>-5.5982976243082683E-2</v>
      </c>
      <c r="C35" s="467">
        <v>-5.7611079358438268E-2</v>
      </c>
      <c r="D35" s="468">
        <v>-0.20440644086865772</v>
      </c>
      <c r="E35" s="468">
        <v>-4.1760613725963874E-2</v>
      </c>
      <c r="F35" s="467">
        <v>5.085640230810775E-2</v>
      </c>
      <c r="G35" s="467">
        <v>-0.16264582714270401</v>
      </c>
      <c r="H35" s="467">
        <v>9.0197164732225096E-2</v>
      </c>
      <c r="I35" s="78"/>
    </row>
    <row r="36" spans="1:9" ht="12.75" customHeight="1">
      <c r="A36" s="145">
        <v>2007</v>
      </c>
      <c r="B36" s="466">
        <v>-1.7084024502687867E-2</v>
      </c>
      <c r="C36" s="467">
        <v>-1.7231640110657042E-2</v>
      </c>
      <c r="D36" s="468">
        <v>-4.2012906457582939E-2</v>
      </c>
      <c r="E36" s="468">
        <v>-1.4800266899768844E-2</v>
      </c>
      <c r="F36" s="469">
        <v>1.6334087468424897E-2</v>
      </c>
      <c r="G36" s="467">
        <v>-2.7212639557802301E-2</v>
      </c>
      <c r="H36" s="467">
        <v>-8.0738725965597696E-2</v>
      </c>
      <c r="I36" s="78"/>
    </row>
    <row r="37" spans="1:9" ht="12.75" customHeight="1">
      <c r="A37" s="145">
        <v>2008</v>
      </c>
      <c r="B37" s="466">
        <v>-2.7100926457608754E-2</v>
      </c>
      <c r="C37" s="467">
        <v>-2.7474929265170606E-2</v>
      </c>
      <c r="D37" s="468">
        <v>-1.2358875879608981E-2</v>
      </c>
      <c r="E37" s="468">
        <v>-2.8950137185975781E-2</v>
      </c>
      <c r="F37" s="469">
        <v>4.8656431170160629E-2</v>
      </c>
      <c r="G37" s="467">
        <v>1.65912613063584E-2</v>
      </c>
      <c r="H37" s="467">
        <v>-0.29627928239703499</v>
      </c>
      <c r="I37" s="78"/>
    </row>
    <row r="38" spans="1:9" ht="12.75" customHeight="1">
      <c r="A38" s="145">
        <v>2009</v>
      </c>
      <c r="B38" s="466">
        <v>-2.0399646401826343E-3</v>
      </c>
      <c r="C38" s="467">
        <v>-2.042048202126587E-3</v>
      </c>
      <c r="D38" s="468">
        <v>0.13393877810139743</v>
      </c>
      <c r="E38" s="468">
        <v>-1.6479308837419472E-2</v>
      </c>
      <c r="F38" s="469">
        <v>6.8547735255460998E-2</v>
      </c>
      <c r="G38" s="467">
        <v>0.150418086938825</v>
      </c>
      <c r="H38" s="467">
        <v>-0.41434824302871298</v>
      </c>
      <c r="I38" s="78"/>
    </row>
    <row r="39" spans="1:9" ht="12.75" customHeight="1">
      <c r="A39" s="145">
        <v>2010</v>
      </c>
      <c r="B39" s="466">
        <v>8.8721189882887908E-2</v>
      </c>
      <c r="C39" s="467">
        <v>8.5003787188432794E-2</v>
      </c>
      <c r="D39" s="468">
        <v>0.11513684247879868</v>
      </c>
      <c r="E39" s="468">
        <v>8.1498666074382164E-2</v>
      </c>
      <c r="F39" s="469">
        <v>1.5623602633512968E-2</v>
      </c>
      <c r="G39" s="467">
        <v>3.3638176404422501E-2</v>
      </c>
      <c r="H39" s="467">
        <v>-8.9946584278838795E-2</v>
      </c>
      <c r="I39" s="78"/>
    </row>
    <row r="40" spans="1:9" ht="12.75" customHeight="1">
      <c r="A40" s="145">
        <v>2011</v>
      </c>
      <c r="B40" s="466">
        <v>1.2242557999219139E-2</v>
      </c>
      <c r="C40" s="467">
        <v>1.2168223963586092E-2</v>
      </c>
      <c r="D40" s="468">
        <v>2.7717264414333684E-2</v>
      </c>
      <c r="E40" s="468">
        <v>1.0312833502234919E-2</v>
      </c>
      <c r="F40" s="469">
        <v>0</v>
      </c>
      <c r="G40" s="467">
        <v>1.7404430912085499E-2</v>
      </c>
      <c r="H40" s="467">
        <v>4.7020263288360599E-2</v>
      </c>
      <c r="I40" s="78"/>
    </row>
    <row r="41" spans="1:9" ht="12.75" customHeight="1">
      <c r="A41" s="145">
        <v>2012</v>
      </c>
      <c r="B41" s="466">
        <v>4.7108631831105363E-2</v>
      </c>
      <c r="C41" s="467">
        <v>4.6032681836756413E-2</v>
      </c>
      <c r="D41" s="468">
        <v>0.1146935808192658</v>
      </c>
      <c r="E41" s="468">
        <v>3.7441055809244651E-2</v>
      </c>
      <c r="F41" s="469">
        <v>2.8654470047896979E-3</v>
      </c>
      <c r="G41" s="467">
        <v>7.7252525010028897E-2</v>
      </c>
      <c r="H41" s="467">
        <v>0.125496587782847</v>
      </c>
      <c r="I41" s="78"/>
    </row>
    <row r="42" spans="1:9" ht="12.75" customHeight="1">
      <c r="A42" s="145">
        <v>2013</v>
      </c>
      <c r="B42" s="466">
        <v>3.5713605664391412E-3</v>
      </c>
      <c r="C42" s="467">
        <v>3.5649984015150697E-3</v>
      </c>
      <c r="D42" s="468">
        <v>0.13050692366481825</v>
      </c>
      <c r="E42" s="468">
        <v>-1.4191976583778645E-2</v>
      </c>
      <c r="F42" s="469">
        <v>1.8824162156153193E-2</v>
      </c>
      <c r="G42" s="467">
        <v>0.144698900248591</v>
      </c>
      <c r="H42" s="467">
        <v>0.15350233971336699</v>
      </c>
      <c r="I42" s="78"/>
    </row>
    <row r="43" spans="1:9" ht="12.75" customHeight="1">
      <c r="A43" s="145">
        <v>2014</v>
      </c>
      <c r="B43" s="470">
        <v>1.6144720821220648E-3</v>
      </c>
      <c r="C43" s="469">
        <v>1.6131702230917728E-3</v>
      </c>
      <c r="D43" s="471">
        <v>4.5625480956844683E-2</v>
      </c>
      <c r="E43" s="471">
        <v>-5.1716424536870026E-3</v>
      </c>
      <c r="F43" s="469">
        <v>6.9892696764317266E-2</v>
      </c>
      <c r="G43" s="467">
        <v>5.0797123410537597E-2</v>
      </c>
      <c r="H43" s="467">
        <v>0.17931041706286399</v>
      </c>
      <c r="I43" s="78"/>
    </row>
    <row r="44" spans="1:9" ht="12.75" customHeight="1">
      <c r="A44" s="145">
        <v>2015</v>
      </c>
      <c r="B44" s="470">
        <v>-1.4605855798918821E-2</v>
      </c>
      <c r="C44" s="469">
        <v>-1.4713571450230613E-2</v>
      </c>
      <c r="D44" s="471">
        <v>7.7968411688362051E-3</v>
      </c>
      <c r="E44" s="471">
        <v>-1.8319552331772376E-2</v>
      </c>
      <c r="F44" s="469">
        <v>0</v>
      </c>
      <c r="G44" s="467">
        <v>2.61163935006123E-2</v>
      </c>
      <c r="H44" s="467">
        <v>0.19445985676680499</v>
      </c>
      <c r="I44" s="78"/>
    </row>
    <row r="45" spans="1:9" ht="12.75" customHeight="1">
      <c r="A45" s="145">
        <v>2016</v>
      </c>
      <c r="B45" s="472">
        <v>-2.6676624786905689E-2</v>
      </c>
      <c r="C45" s="468">
        <v>-2.7038903385706841E-2</v>
      </c>
      <c r="D45" s="468">
        <v>3.1025351801830921E-2</v>
      </c>
      <c r="E45" s="468">
        <v>-3.6788708056660027E-2</v>
      </c>
      <c r="F45" s="468">
        <v>0</v>
      </c>
      <c r="G45" s="468">
        <v>6.7814059858481296E-2</v>
      </c>
      <c r="H45" s="468">
        <v>0.12742729548818801</v>
      </c>
      <c r="I45" s="78"/>
    </row>
    <row r="46" spans="1:9" ht="12.75" customHeight="1">
      <c r="A46" s="145">
        <v>2017</v>
      </c>
      <c r="B46" s="472">
        <v>-1.8261084505928227E-2</v>
      </c>
      <c r="C46" s="468">
        <v>-1.8429876146379986E-2</v>
      </c>
      <c r="D46" s="468">
        <v>-7.4647435094532713E-2</v>
      </c>
      <c r="E46" s="468">
        <v>-8.9801008752531438E-3</v>
      </c>
      <c r="F46" s="468">
        <v>0</v>
      </c>
      <c r="G46" s="468">
        <v>-6.5667334219273094E-2</v>
      </c>
      <c r="H46" s="468">
        <v>0.13041987509664599</v>
      </c>
      <c r="I46" s="78"/>
    </row>
    <row r="47" spans="1:9" ht="12.75" customHeight="1">
      <c r="A47" s="145">
        <v>2018</v>
      </c>
      <c r="B47" s="472">
        <v>-3.0603773498527609E-3</v>
      </c>
      <c r="C47" s="468">
        <v>-3.0650698810041894E-3</v>
      </c>
      <c r="D47" s="468">
        <v>-4.9669070348722165E-2</v>
      </c>
      <c r="E47" s="468">
        <v>4.3135270402488704E-3</v>
      </c>
      <c r="F47" s="468">
        <v>0</v>
      </c>
      <c r="G47" s="468">
        <v>-5.3982597388972299E-2</v>
      </c>
      <c r="H47" s="468">
        <v>0.12419580133722399</v>
      </c>
      <c r="I47" s="78"/>
    </row>
    <row r="48" spans="1:9" ht="12.75" customHeight="1">
      <c r="A48" s="145">
        <v>2019</v>
      </c>
      <c r="B48" s="472">
        <v>1.8036240516503543E-2</v>
      </c>
      <c r="C48" s="468">
        <v>1.7875517216192204E-2</v>
      </c>
      <c r="D48" s="468">
        <v>4.6864342526531245E-2</v>
      </c>
      <c r="E48" s="468">
        <v>1.3332788162276251E-2</v>
      </c>
      <c r="F48" s="468">
        <v>0</v>
      </c>
      <c r="G48" s="468">
        <v>3.3531554364255999E-2</v>
      </c>
      <c r="H48" s="468">
        <v>4.07104007537923E-2</v>
      </c>
      <c r="I48" s="78"/>
    </row>
    <row r="49" spans="1:10" ht="12.75" customHeight="1">
      <c r="A49" s="145">
        <v>2020</v>
      </c>
      <c r="B49" s="472">
        <v>-0.10587445528040074</v>
      </c>
      <c r="C49" s="468">
        <v>-0.11190908333291717</v>
      </c>
      <c r="D49" s="468">
        <v>5.6257789713158347E-2</v>
      </c>
      <c r="E49" s="468">
        <v>-0.1415258083223134</v>
      </c>
      <c r="F49" s="468">
        <v>0</v>
      </c>
      <c r="G49" s="468">
        <v>0.19778359803547599</v>
      </c>
      <c r="H49" s="468">
        <v>-0.93219392708941595</v>
      </c>
      <c r="I49" s="78"/>
      <c r="J49" s="362"/>
    </row>
    <row r="50" spans="1:10" ht="12.75" customHeight="1">
      <c r="A50" s="336" t="s">
        <v>450</v>
      </c>
      <c r="B50" s="473">
        <v>0.13132037129693286</v>
      </c>
      <c r="C50" s="474">
        <v>0.10855001166053367</v>
      </c>
      <c r="D50" s="474">
        <v>-0.21235165827315808</v>
      </c>
      <c r="E50" s="474">
        <v>0.17268847970807102</v>
      </c>
      <c r="F50" s="474">
        <v>0</v>
      </c>
      <c r="G50" s="474">
        <v>-0.38504013798122999</v>
      </c>
      <c r="H50" s="474">
        <v>0.30681475017708398</v>
      </c>
      <c r="I50" s="78"/>
      <c r="J50" s="362"/>
    </row>
    <row r="51" spans="1:10" ht="12.75" customHeight="1">
      <c r="A51" s="394">
        <v>2022</v>
      </c>
      <c r="B51" s="475">
        <v>4.1174507636521751E-2</v>
      </c>
      <c r="C51" s="476">
        <v>4.034941020093534E-2</v>
      </c>
      <c r="D51" s="476">
        <v>4.0349410200934278E-2</v>
      </c>
      <c r="E51" s="476">
        <v>4.0349410200935285E-2</v>
      </c>
      <c r="F51" s="476">
        <v>2.2204460492503128E-16</v>
      </c>
      <c r="G51" s="476">
        <v>0</v>
      </c>
      <c r="H51" s="476">
        <v>0.54786594709193903</v>
      </c>
      <c r="I51" s="78"/>
      <c r="J51" s="362"/>
    </row>
    <row r="52" spans="1:10" ht="12.75" customHeight="1">
      <c r="A52" s="168">
        <v>2023</v>
      </c>
      <c r="B52" s="477">
        <v>-7.3376609437143525E-3</v>
      </c>
      <c r="C52" s="478">
        <v>-7.3647139964344872E-3</v>
      </c>
      <c r="D52" s="478">
        <v>-7.3647139964343753E-3</v>
      </c>
      <c r="E52" s="478">
        <v>-7.3647139964342703E-3</v>
      </c>
      <c r="F52" s="478">
        <v>0</v>
      </c>
      <c r="G52" s="478">
        <v>0</v>
      </c>
      <c r="H52" s="478">
        <v>0.114706057773764</v>
      </c>
      <c r="I52" s="78"/>
    </row>
    <row r="53" spans="1:10" ht="12.75" customHeight="1">
      <c r="A53" s="145">
        <v>2024</v>
      </c>
      <c r="B53" s="479">
        <v>-1.673380314314632E-2</v>
      </c>
      <c r="C53" s="480">
        <v>-1.6875395030043667E-2</v>
      </c>
      <c r="D53" s="480">
        <v>-1.6875395030043667E-2</v>
      </c>
      <c r="E53" s="480">
        <v>-1.6875395030043722E-2</v>
      </c>
      <c r="F53" s="480">
        <v>0</v>
      </c>
      <c r="G53" s="480">
        <v>0</v>
      </c>
      <c r="H53" s="480">
        <v>2.8365888837249099E-2</v>
      </c>
      <c r="I53" s="78"/>
      <c r="J53" s="363"/>
    </row>
    <row r="54" spans="1:10" ht="12.75" customHeight="1">
      <c r="A54" s="145">
        <v>2025</v>
      </c>
      <c r="B54" s="479">
        <v>-1.1921701644935112E-2</v>
      </c>
      <c r="C54" s="480">
        <v>-1.199333502710119E-2</v>
      </c>
      <c r="D54" s="480">
        <v>-1.1993335027101077E-2</v>
      </c>
      <c r="E54" s="480">
        <v>-1.1993335027101213E-2</v>
      </c>
      <c r="F54" s="480">
        <v>0</v>
      </c>
      <c r="G54" s="480">
        <v>0</v>
      </c>
      <c r="H54" s="480">
        <v>7.2686362200057905E-2</v>
      </c>
      <c r="I54" s="78"/>
    </row>
    <row r="55" spans="1:10" ht="12.75" customHeight="1">
      <c r="A55" s="229"/>
      <c r="B55" s="229"/>
      <c r="C55" s="229"/>
      <c r="D55" s="229"/>
      <c r="E55" s="229"/>
      <c r="F55" s="42"/>
      <c r="G55" s="229"/>
      <c r="H55" s="229"/>
      <c r="I55" s="78"/>
    </row>
    <row r="56" spans="1:10" ht="14.5">
      <c r="A56" s="229"/>
      <c r="B56" s="229"/>
      <c r="C56" s="121" t="s">
        <v>181</v>
      </c>
      <c r="D56" s="229"/>
      <c r="E56" s="229"/>
      <c r="F56" s="229"/>
      <c r="G56" s="229"/>
      <c r="H56" s="229"/>
      <c r="I56" s="78"/>
    </row>
    <row r="57" spans="1:10" ht="12.75" customHeight="1">
      <c r="A57" s="145"/>
      <c r="B57" s="27"/>
      <c r="C57" s="229" t="s">
        <v>182</v>
      </c>
      <c r="D57" s="229"/>
      <c r="E57" s="210">
        <v>-0.02</v>
      </c>
      <c r="F57" s="99"/>
      <c r="G57" s="99"/>
      <c r="H57" s="229"/>
      <c r="I57" s="78"/>
    </row>
    <row r="58" spans="1:10" ht="12.75" customHeight="1">
      <c r="A58" s="145"/>
      <c r="B58" s="27"/>
      <c r="C58" s="229" t="s">
        <v>183</v>
      </c>
      <c r="D58" s="229"/>
      <c r="E58" s="210">
        <v>4.3528605657448149E-2</v>
      </c>
      <c r="F58" s="229"/>
      <c r="G58" s="229"/>
      <c r="H58" s="145"/>
      <c r="I58" s="78"/>
    </row>
    <row r="59" spans="1:10" ht="12.75" customHeight="1">
      <c r="A59" s="145"/>
      <c r="B59" s="100"/>
      <c r="C59" s="229" t="s">
        <v>184</v>
      </c>
      <c r="D59" s="229"/>
      <c r="E59" s="210">
        <v>0.3920071057433554</v>
      </c>
      <c r="F59" s="229"/>
      <c r="G59" s="229"/>
      <c r="H59" s="145"/>
      <c r="I59" s="78"/>
    </row>
    <row r="60" spans="1:10" ht="12.75" customHeight="1">
      <c r="A60" s="145"/>
      <c r="B60" s="100"/>
      <c r="C60" s="229" t="s">
        <v>185</v>
      </c>
      <c r="D60" s="229"/>
      <c r="E60" s="235">
        <v>41</v>
      </c>
      <c r="F60" s="229"/>
      <c r="G60" s="229"/>
      <c r="H60" s="145"/>
      <c r="I60" s="78"/>
    </row>
    <row r="61" spans="1:10" ht="12.75" customHeight="1">
      <c r="A61" s="145"/>
      <c r="B61" s="100"/>
      <c r="C61" s="229" t="s">
        <v>186</v>
      </c>
      <c r="D61" s="229"/>
      <c r="E61" s="235">
        <v>37</v>
      </c>
      <c r="F61" s="229"/>
      <c r="G61" s="229"/>
      <c r="H61" s="229"/>
      <c r="I61" s="78"/>
    </row>
    <row r="62" spans="1:10" ht="12.75" customHeight="1">
      <c r="A62" s="229"/>
      <c r="B62" s="229"/>
      <c r="C62" s="229"/>
      <c r="D62" s="229"/>
      <c r="E62" s="229"/>
      <c r="F62" s="229"/>
      <c r="G62" s="229"/>
      <c r="H62" s="229"/>
      <c r="I62" s="78"/>
    </row>
    <row r="63" spans="1:10" ht="12.75" customHeight="1">
      <c r="A63" s="229"/>
      <c r="B63" s="229"/>
      <c r="C63" s="229" t="s">
        <v>187</v>
      </c>
      <c r="D63" s="229"/>
      <c r="E63" s="229"/>
      <c r="F63" s="210">
        <v>0.18704635737834266</v>
      </c>
      <c r="G63" s="210">
        <v>0.20030327103617257</v>
      </c>
      <c r="H63" s="210">
        <v>0.11015360695671751</v>
      </c>
      <c r="I63" s="78"/>
    </row>
    <row r="64" spans="1:10" ht="12.75" customHeight="1">
      <c r="A64" s="229"/>
      <c r="B64" s="229"/>
      <c r="C64" s="229" t="s">
        <v>188</v>
      </c>
      <c r="D64" s="229"/>
      <c r="E64" s="229"/>
      <c r="F64" s="210">
        <v>8.2349499581206367E-2</v>
      </c>
      <c r="G64" s="210">
        <v>6.658616666060066E-2</v>
      </c>
      <c r="H64" s="210">
        <v>4.8247682270932471E-2</v>
      </c>
      <c r="I64" s="78"/>
    </row>
    <row r="65" spans="1:9" ht="12.75" customHeight="1">
      <c r="A65" s="229"/>
      <c r="B65" s="229"/>
      <c r="C65" s="229"/>
      <c r="D65" s="229"/>
      <c r="E65" s="229"/>
      <c r="F65" s="229"/>
      <c r="G65" s="229"/>
      <c r="H65" s="229"/>
      <c r="I65" s="78"/>
    </row>
    <row r="66" spans="1:9" ht="12.75" customHeight="1">
      <c r="A66" s="229" t="s">
        <v>189</v>
      </c>
      <c r="B66" s="229"/>
      <c r="C66" s="229"/>
      <c r="D66" s="229"/>
      <c r="E66" s="229"/>
      <c r="F66" s="229"/>
      <c r="G66" s="229"/>
      <c r="H66" s="229"/>
      <c r="I66" s="78"/>
    </row>
    <row r="67" spans="1:9" ht="12.75" customHeight="1">
      <c r="A67" s="229" t="s">
        <v>430</v>
      </c>
      <c r="B67" s="229"/>
      <c r="C67" s="229"/>
      <c r="D67" s="229"/>
      <c r="E67" s="229"/>
      <c r="F67" s="229"/>
      <c r="G67" s="229"/>
      <c r="H67" s="229"/>
      <c r="I67" s="78"/>
    </row>
    <row r="68" spans="1:9" ht="12.75" customHeight="1">
      <c r="A68" s="229" t="s">
        <v>431</v>
      </c>
      <c r="B68" s="229"/>
      <c r="C68" s="229"/>
      <c r="D68" s="229"/>
      <c r="E68" s="229"/>
      <c r="F68" s="229"/>
      <c r="G68" s="229"/>
      <c r="H68" s="229"/>
      <c r="I68" s="78"/>
    </row>
    <row r="69" spans="1:9" ht="12.75" customHeight="1">
      <c r="A69" s="229" t="s">
        <v>230</v>
      </c>
      <c r="B69" s="229"/>
      <c r="C69" s="229"/>
      <c r="D69" s="229"/>
      <c r="E69" s="229"/>
      <c r="F69" s="229"/>
      <c r="G69" s="229"/>
      <c r="H69" s="229"/>
      <c r="I69" s="78"/>
    </row>
    <row r="70" spans="1:9" ht="12.75" customHeight="1">
      <c r="A70" s="229" t="s">
        <v>432</v>
      </c>
      <c r="B70" s="229"/>
      <c r="C70" s="229"/>
      <c r="D70" s="229"/>
      <c r="E70" s="229"/>
      <c r="F70" s="229"/>
      <c r="G70" s="229"/>
      <c r="H70" s="229"/>
      <c r="I70" s="78"/>
    </row>
    <row r="71" spans="1:9" ht="12.75" customHeight="1">
      <c r="A71" s="229" t="s">
        <v>475</v>
      </c>
      <c r="B71" s="229"/>
      <c r="C71" s="229"/>
      <c r="D71" s="229"/>
      <c r="E71" s="229"/>
      <c r="F71" s="229"/>
      <c r="G71" s="229"/>
      <c r="H71" s="229"/>
      <c r="I71" s="78"/>
    </row>
    <row r="72" spans="1:9" ht="12.75" customHeight="1">
      <c r="A72" s="229" t="s">
        <v>476</v>
      </c>
      <c r="B72" s="229"/>
      <c r="C72" s="229"/>
      <c r="D72" s="229"/>
      <c r="E72" s="229"/>
      <c r="F72" s="229"/>
      <c r="G72" s="229"/>
      <c r="H72" s="229"/>
      <c r="I72" s="78"/>
    </row>
    <row r="73" spans="1:9" ht="12.75" customHeight="1">
      <c r="A73" s="229" t="s">
        <v>478</v>
      </c>
      <c r="B73" s="229"/>
      <c r="C73" s="229"/>
      <c r="D73" s="229"/>
      <c r="E73" s="229"/>
      <c r="F73" s="229"/>
      <c r="G73" s="229"/>
      <c r="H73" s="229"/>
      <c r="I73" s="78"/>
    </row>
    <row r="74" spans="1:9" ht="12.75" customHeight="1">
      <c r="A74" s="229" t="s">
        <v>433</v>
      </c>
      <c r="B74" s="229"/>
      <c r="C74" s="229"/>
      <c r="D74" s="229"/>
      <c r="E74" s="229"/>
      <c r="F74" s="229"/>
      <c r="G74" s="229"/>
      <c r="H74" s="229"/>
      <c r="I74" s="78"/>
    </row>
    <row r="75" spans="1:9" ht="12.75" customHeight="1">
      <c r="A75" s="229" t="s">
        <v>451</v>
      </c>
      <c r="B75" s="229"/>
      <c r="C75" s="229"/>
      <c r="D75" s="229"/>
      <c r="E75" s="229"/>
      <c r="F75" s="229"/>
      <c r="G75" s="229"/>
      <c r="H75" s="229"/>
      <c r="I75" s="78"/>
    </row>
    <row r="76" spans="1:9" ht="12.75" customHeight="1">
      <c r="A76" s="229" t="s">
        <v>477</v>
      </c>
      <c r="B76" s="229"/>
      <c r="C76" s="229"/>
      <c r="D76" s="229"/>
      <c r="E76" s="229"/>
      <c r="F76" s="229"/>
      <c r="G76" s="229"/>
      <c r="H76" s="229"/>
      <c r="I76" s="78"/>
    </row>
    <row r="77" spans="1:9" ht="12.75" customHeight="1">
      <c r="A77" s="229" t="s">
        <v>568</v>
      </c>
      <c r="B77" s="229"/>
      <c r="C77" s="229"/>
      <c r="D77" s="229"/>
      <c r="E77" s="229"/>
      <c r="F77" s="229"/>
      <c r="G77" s="229"/>
      <c r="H77" s="229"/>
      <c r="I77" s="78"/>
    </row>
    <row r="78" spans="1:9" ht="12.75" customHeight="1">
      <c r="A78" s="229" t="s">
        <v>452</v>
      </c>
      <c r="B78" s="229"/>
      <c r="C78" s="229"/>
      <c r="D78" s="229"/>
      <c r="E78" s="229"/>
      <c r="F78" s="229"/>
      <c r="G78" s="229"/>
      <c r="H78" s="229"/>
      <c r="I78" s="78"/>
    </row>
    <row r="79" spans="1:9" ht="12.75" customHeight="1">
      <c r="A79" s="229" t="s">
        <v>453</v>
      </c>
      <c r="B79" s="229"/>
      <c r="C79" s="229"/>
      <c r="D79" s="229"/>
      <c r="E79" s="229"/>
      <c r="F79" s="229"/>
      <c r="G79" s="229"/>
      <c r="H79" s="229"/>
    </row>
    <row r="80" spans="1:9" ht="12.75" customHeight="1">
      <c r="A80" s="229"/>
      <c r="B80" s="229"/>
      <c r="C80" s="229"/>
      <c r="D80" s="229"/>
      <c r="E80" s="229"/>
      <c r="F80" s="229"/>
      <c r="G80" s="229"/>
      <c r="H80" s="229"/>
    </row>
    <row r="81" spans="1:8">
      <c r="B81" s="229"/>
      <c r="C81" s="229"/>
      <c r="D81" s="229"/>
      <c r="E81" s="229"/>
      <c r="F81" s="229"/>
      <c r="G81" s="229"/>
      <c r="H81" s="229"/>
    </row>
    <row r="82" spans="1:8">
      <c r="B82" s="229"/>
      <c r="C82" s="229"/>
      <c r="D82" s="229"/>
      <c r="E82" s="229"/>
      <c r="F82" s="229"/>
      <c r="G82" s="229"/>
      <c r="H82" s="229"/>
    </row>
    <row r="83" spans="1:8">
      <c r="A83" s="229"/>
      <c r="B83" s="229"/>
      <c r="C83" s="229"/>
      <c r="D83" s="229"/>
      <c r="E83" s="229"/>
      <c r="F83" s="229"/>
      <c r="G83" s="229"/>
      <c r="H83" s="229"/>
    </row>
  </sheetData>
  <printOptions horizontalCentered="1"/>
  <pageMargins left="0.5" right="0.5" top="0.75" bottom="0.75" header="0.33" footer="0.33"/>
  <pageSetup scale="70" orientation="portrait" blackAndWhite="1" horizontalDpi="1200" verticalDpi="1200" r:id="rId1"/>
  <headerFooter scaleWithDoc="0">
    <oddHeader>&amp;R&amp;"Arial,Regular"&amp;10Exhibit 6.1</oddHead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M53"/>
  <sheetViews>
    <sheetView zoomScaleNormal="100" zoomScaleSheetLayoutView="100" workbookViewId="0"/>
  </sheetViews>
  <sheetFormatPr defaultColWidth="9.1796875" defaultRowHeight="12.5"/>
  <cols>
    <col min="1" max="1" width="4" style="56" customWidth="1"/>
    <col min="2" max="2" width="9.1796875" style="56"/>
    <col min="3" max="3" width="5" style="56" customWidth="1"/>
    <col min="4" max="4" width="9.1796875" style="56"/>
    <col min="5" max="5" width="5.81640625" style="56" customWidth="1"/>
    <col min="6" max="6" width="9.1796875" style="56"/>
    <col min="7" max="7" width="5" style="56" customWidth="1"/>
    <col min="8" max="8" width="9.1796875" style="56"/>
    <col min="9" max="9" width="6.81640625" style="56" customWidth="1"/>
    <col min="10" max="10" width="9.1796875" style="56"/>
    <col min="11" max="11" width="5" style="56" customWidth="1"/>
    <col min="12" max="12" width="9.1796875" style="56"/>
    <col min="13" max="13" width="4" style="56" customWidth="1"/>
    <col min="14" max="16384" width="9.1796875" style="56"/>
  </cols>
  <sheetData>
    <row r="1" spans="1:13" ht="13">
      <c r="A1" s="122" t="s">
        <v>190</v>
      </c>
      <c r="B1" s="122"/>
      <c r="C1" s="122"/>
      <c r="D1" s="122"/>
      <c r="E1" s="122"/>
      <c r="F1" s="122"/>
      <c r="G1" s="122"/>
      <c r="H1" s="122"/>
      <c r="I1" s="122"/>
      <c r="J1" s="122"/>
      <c r="K1" s="122"/>
      <c r="L1" s="122"/>
      <c r="M1" s="122"/>
    </row>
    <row r="2" spans="1:13" ht="13">
      <c r="A2" s="122" t="s">
        <v>550</v>
      </c>
      <c r="B2" s="122"/>
      <c r="C2" s="122"/>
      <c r="D2" s="122"/>
      <c r="E2" s="122"/>
      <c r="F2" s="122"/>
      <c r="G2" s="122"/>
      <c r="H2" s="122"/>
      <c r="I2" s="122"/>
      <c r="J2" s="122"/>
      <c r="K2" s="122"/>
      <c r="L2" s="122"/>
      <c r="M2" s="122"/>
    </row>
    <row r="3" spans="1:13">
      <c r="A3" s="341"/>
      <c r="B3" s="341"/>
      <c r="C3" s="341"/>
      <c r="D3" s="341"/>
      <c r="E3" s="341"/>
      <c r="F3" s="341"/>
      <c r="G3" s="341"/>
      <c r="H3" s="341"/>
      <c r="I3" s="341"/>
      <c r="J3" s="341"/>
      <c r="K3" s="341"/>
      <c r="L3" s="341"/>
      <c r="M3" s="341"/>
    </row>
    <row r="4" spans="1:13">
      <c r="A4" s="341"/>
      <c r="B4" s="341"/>
      <c r="C4" s="341"/>
      <c r="D4" s="32" t="s">
        <v>45</v>
      </c>
      <c r="E4" s="32"/>
      <c r="F4" s="32" t="s">
        <v>46</v>
      </c>
      <c r="G4" s="32"/>
      <c r="H4" s="32" t="s">
        <v>47</v>
      </c>
      <c r="I4" s="32"/>
      <c r="J4" s="32" t="s">
        <v>48</v>
      </c>
      <c r="K4" s="32"/>
      <c r="L4" s="32" t="s">
        <v>50</v>
      </c>
      <c r="M4" s="32"/>
    </row>
    <row r="5" spans="1:13">
      <c r="A5" s="341"/>
      <c r="B5" s="341"/>
      <c r="C5" s="341"/>
      <c r="D5" s="31" t="s">
        <v>191</v>
      </c>
      <c r="E5" s="31"/>
      <c r="F5" s="31"/>
      <c r="G5" s="341"/>
      <c r="H5" s="31" t="s">
        <v>3</v>
      </c>
      <c r="I5" s="341"/>
      <c r="J5" s="31" t="s">
        <v>55</v>
      </c>
      <c r="K5" s="31"/>
      <c r="L5" s="31"/>
      <c r="M5" s="31"/>
    </row>
    <row r="6" spans="1:13">
      <c r="A6" s="341"/>
      <c r="B6" s="31" t="s">
        <v>192</v>
      </c>
      <c r="C6" s="341"/>
      <c r="D6" s="31" t="s">
        <v>55</v>
      </c>
      <c r="E6" s="31"/>
      <c r="F6" s="31" t="s">
        <v>63</v>
      </c>
      <c r="G6" s="341"/>
      <c r="H6" s="31" t="s">
        <v>138</v>
      </c>
      <c r="I6" s="341"/>
      <c r="J6" s="31" t="s">
        <v>119</v>
      </c>
      <c r="K6" s="31"/>
      <c r="L6" s="31" t="s">
        <v>63</v>
      </c>
      <c r="M6" s="31"/>
    </row>
    <row r="7" spans="1:13">
      <c r="A7" s="341"/>
      <c r="B7" s="33" t="s">
        <v>8</v>
      </c>
      <c r="C7" s="340"/>
      <c r="D7" s="33" t="s">
        <v>193</v>
      </c>
      <c r="E7" s="33"/>
      <c r="F7" s="33" t="s">
        <v>194</v>
      </c>
      <c r="G7" s="340"/>
      <c r="H7" s="33" t="s">
        <v>196</v>
      </c>
      <c r="I7" s="340"/>
      <c r="J7" s="33" t="s">
        <v>193</v>
      </c>
      <c r="K7" s="33"/>
      <c r="L7" s="33" t="s">
        <v>194</v>
      </c>
      <c r="M7" s="33"/>
    </row>
    <row r="8" spans="1:13">
      <c r="A8" s="341"/>
      <c r="B8" s="341"/>
      <c r="C8" s="341"/>
      <c r="D8" s="125"/>
      <c r="E8" s="125"/>
      <c r="F8" s="125"/>
      <c r="G8" s="341"/>
      <c r="H8" s="44"/>
      <c r="I8" s="341"/>
      <c r="J8" s="272" t="s">
        <v>195</v>
      </c>
      <c r="K8" s="272"/>
      <c r="L8" s="31"/>
      <c r="M8" s="31"/>
    </row>
    <row r="9" spans="1:13">
      <c r="A9" s="341"/>
      <c r="B9" s="341"/>
      <c r="C9" s="341"/>
      <c r="D9" s="125"/>
      <c r="E9" s="125"/>
      <c r="F9" s="125"/>
      <c r="G9" s="341"/>
      <c r="H9" s="44"/>
      <c r="I9" s="341"/>
      <c r="J9" s="31"/>
      <c r="K9" s="31"/>
      <c r="L9" s="31"/>
      <c r="M9" s="31"/>
    </row>
    <row r="10" spans="1:13">
      <c r="A10" s="341"/>
      <c r="B10" s="31">
        <v>1990</v>
      </c>
      <c r="C10" s="341"/>
      <c r="D10" s="419">
        <v>9999.9622360282065</v>
      </c>
      <c r="E10" s="125"/>
      <c r="F10" s="273" t="s">
        <v>32</v>
      </c>
      <c r="G10" s="341"/>
      <c r="H10" s="420">
        <v>2.1414062975224728</v>
      </c>
      <c r="I10" s="341"/>
      <c r="J10" s="125">
        <f t="shared" ref="J10:J34" si="0">+D10*H10</f>
        <v>21413.982107217711</v>
      </c>
      <c r="K10" s="125"/>
      <c r="L10" s="273" t="s">
        <v>32</v>
      </c>
      <c r="M10" s="273"/>
    </row>
    <row r="11" spans="1:13">
      <c r="A11" s="341"/>
      <c r="B11" s="31">
        <f>B10+1</f>
        <v>1991</v>
      </c>
      <c r="C11" s="341"/>
      <c r="D11" s="419">
        <v>10954.824228914073</v>
      </c>
      <c r="E11" s="125"/>
      <c r="F11" s="50">
        <f>+D11/D10-1</f>
        <v>9.5486559883761979E-2</v>
      </c>
      <c r="G11" s="341"/>
      <c r="H11" s="420">
        <v>2.0251773207310753</v>
      </c>
      <c r="I11" s="341"/>
      <c r="J11" s="125">
        <f t="shared" si="0"/>
        <v>22185.461580992069</v>
      </c>
      <c r="K11" s="125"/>
      <c r="L11" s="50">
        <f t="shared" ref="L11:L34" si="1">+J11/J10-1</f>
        <v>3.6026903819739609E-2</v>
      </c>
      <c r="M11" s="50"/>
    </row>
    <row r="12" spans="1:13">
      <c r="A12" s="341"/>
      <c r="B12" s="31">
        <f t="shared" ref="B12:B42" si="2">B11+1</f>
        <v>1992</v>
      </c>
      <c r="C12" s="341"/>
      <c r="D12" s="419">
        <v>11045.08328867731</v>
      </c>
      <c r="E12" s="125"/>
      <c r="F12" s="50">
        <f t="shared" ref="F12:F42" si="3">+D12/D11-1</f>
        <v>8.2392065702896478E-3</v>
      </c>
      <c r="G12" s="341"/>
      <c r="H12" s="420">
        <v>1.9580400437122687</v>
      </c>
      <c r="I12" s="341"/>
      <c r="J12" s="125">
        <f t="shared" si="0"/>
        <v>21626.715365367367</v>
      </c>
      <c r="K12" s="125"/>
      <c r="L12" s="50">
        <f t="shared" si="1"/>
        <v>-2.5185241856920504E-2</v>
      </c>
      <c r="M12" s="50"/>
    </row>
    <row r="13" spans="1:13">
      <c r="A13" s="341"/>
      <c r="B13" s="31">
        <f t="shared" si="2"/>
        <v>1993</v>
      </c>
      <c r="C13" s="341"/>
      <c r="D13" s="419">
        <v>12000.498677205789</v>
      </c>
      <c r="E13" s="125"/>
      <c r="F13" s="50">
        <f t="shared" si="3"/>
        <v>8.6501420003587404E-2</v>
      </c>
      <c r="G13" s="341"/>
      <c r="H13" s="420">
        <v>1.9463463945736701</v>
      </c>
      <c r="I13" s="341"/>
      <c r="J13" s="125">
        <f t="shared" si="0"/>
        <v>23357.127333465585</v>
      </c>
      <c r="K13" s="125"/>
      <c r="L13" s="50">
        <f t="shared" si="1"/>
        <v>8.0012703679878783E-2</v>
      </c>
      <c r="M13" s="50"/>
    </row>
    <row r="14" spans="1:13">
      <c r="A14" s="341"/>
      <c r="B14" s="31">
        <f t="shared" si="2"/>
        <v>1994</v>
      </c>
      <c r="C14" s="341"/>
      <c r="D14" s="419">
        <v>12971.523173827587</v>
      </c>
      <c r="E14" s="125"/>
      <c r="F14" s="50">
        <f t="shared" si="3"/>
        <v>8.0915345498616675E-2</v>
      </c>
      <c r="G14" s="341"/>
      <c r="H14" s="420">
        <v>2.0387122937545121</v>
      </c>
      <c r="I14" s="341"/>
      <c r="J14" s="125">
        <f t="shared" si="0"/>
        <v>26445.203763203848</v>
      </c>
      <c r="K14" s="125"/>
      <c r="L14" s="50">
        <f t="shared" si="1"/>
        <v>0.13221131116212792</v>
      </c>
      <c r="M14" s="50"/>
    </row>
    <row r="15" spans="1:13">
      <c r="A15" s="341"/>
      <c r="B15" s="31">
        <f t="shared" si="2"/>
        <v>1995</v>
      </c>
      <c r="C15" s="341"/>
      <c r="D15" s="419">
        <v>14573.605553390877</v>
      </c>
      <c r="E15" s="125"/>
      <c r="F15" s="50">
        <f t="shared" si="3"/>
        <v>0.12350765273239328</v>
      </c>
      <c r="G15" s="341"/>
      <c r="H15" s="420">
        <v>1.8988965414104602</v>
      </c>
      <c r="I15" s="341"/>
      <c r="J15" s="125">
        <f t="shared" si="0"/>
        <v>27673.769181214211</v>
      </c>
      <c r="K15" s="125"/>
      <c r="L15" s="50">
        <f t="shared" si="1"/>
        <v>4.645702218864356E-2</v>
      </c>
      <c r="M15" s="50"/>
    </row>
    <row r="16" spans="1:13">
      <c r="A16" s="341"/>
      <c r="B16" s="31">
        <f t="shared" si="2"/>
        <v>1996</v>
      </c>
      <c r="C16" s="341"/>
      <c r="D16" s="419">
        <v>16469.832044104216</v>
      </c>
      <c r="E16" s="125"/>
      <c r="F16" s="50">
        <f t="shared" si="3"/>
        <v>0.13011375145062432</v>
      </c>
      <c r="G16" s="341"/>
      <c r="H16" s="420">
        <v>1.7819373044927724</v>
      </c>
      <c r="I16" s="341"/>
      <c r="J16" s="125">
        <f t="shared" si="0"/>
        <v>29348.208118119754</v>
      </c>
      <c r="K16" s="125"/>
      <c r="L16" s="50">
        <f t="shared" si="1"/>
        <v>6.050635625168832E-2</v>
      </c>
      <c r="M16" s="50"/>
    </row>
    <row r="17" spans="1:13">
      <c r="A17" s="341"/>
      <c r="B17" s="31">
        <f t="shared" si="2"/>
        <v>1997</v>
      </c>
      <c r="C17" s="341"/>
      <c r="D17" s="419">
        <v>19300.639382912159</v>
      </c>
      <c r="E17" s="125"/>
      <c r="F17" s="50">
        <f t="shared" si="3"/>
        <v>0.17187833678129705</v>
      </c>
      <c r="G17" s="341"/>
      <c r="H17" s="420">
        <v>1.5987924336350143</v>
      </c>
      <c r="I17" s="341"/>
      <c r="J17" s="125">
        <f t="shared" si="0"/>
        <v>30857.716209717932</v>
      </c>
      <c r="K17" s="125"/>
      <c r="L17" s="50">
        <f t="shared" si="1"/>
        <v>5.1434420988251128E-2</v>
      </c>
      <c r="M17" s="50"/>
    </row>
    <row r="18" spans="1:13">
      <c r="A18" s="341"/>
      <c r="B18" s="31">
        <f t="shared" si="2"/>
        <v>1998</v>
      </c>
      <c r="C18" s="341"/>
      <c r="D18" s="419">
        <v>21160.77549771616</v>
      </c>
      <c r="E18" s="125"/>
      <c r="F18" s="50">
        <f t="shared" si="3"/>
        <v>9.6376916738358132E-2</v>
      </c>
      <c r="G18" s="341"/>
      <c r="H18" s="420">
        <v>1.474669501678717</v>
      </c>
      <c r="I18" s="341"/>
      <c r="J18" s="125">
        <f t="shared" si="0"/>
        <v>31205.150258352296</v>
      </c>
      <c r="K18" s="125"/>
      <c r="L18" s="50">
        <f t="shared" si="1"/>
        <v>1.1259227555049822E-2</v>
      </c>
      <c r="M18" s="50"/>
    </row>
    <row r="19" spans="1:13">
      <c r="A19" s="341"/>
      <c r="B19" s="31">
        <f t="shared" si="2"/>
        <v>1999</v>
      </c>
      <c r="C19" s="341"/>
      <c r="D19" s="419">
        <v>23144.019470901778</v>
      </c>
      <c r="E19" s="125"/>
      <c r="F19" s="50">
        <f t="shared" si="3"/>
        <v>9.3722650826273624E-2</v>
      </c>
      <c r="G19" s="341"/>
      <c r="H19" s="420">
        <v>1.3664507051805346</v>
      </c>
      <c r="I19" s="341"/>
      <c r="J19" s="125">
        <f t="shared" si="0"/>
        <v>31625.161726725757</v>
      </c>
      <c r="K19" s="125"/>
      <c r="L19" s="50">
        <f t="shared" si="1"/>
        <v>1.3459684215461953E-2</v>
      </c>
      <c r="M19" s="50"/>
    </row>
    <row r="20" spans="1:13">
      <c r="A20" s="341"/>
      <c r="B20" s="31">
        <f t="shared" si="2"/>
        <v>2000</v>
      </c>
      <c r="C20" s="341"/>
      <c r="D20" s="419">
        <v>24811.470216147722</v>
      </c>
      <c r="E20" s="125"/>
      <c r="F20" s="50">
        <f t="shared" si="3"/>
        <v>7.204672236567955E-2</v>
      </c>
      <c r="G20" s="341"/>
      <c r="H20" s="420">
        <v>1.2756154076193673</v>
      </c>
      <c r="I20" s="341"/>
      <c r="J20" s="125">
        <f t="shared" si="0"/>
        <v>31649.893693407066</v>
      </c>
      <c r="K20" s="125"/>
      <c r="L20" s="50">
        <f t="shared" si="1"/>
        <v>7.8203447289904027E-4</v>
      </c>
      <c r="M20" s="50"/>
    </row>
    <row r="21" spans="1:13">
      <c r="A21" s="341"/>
      <c r="B21" s="31">
        <f t="shared" si="2"/>
        <v>2001</v>
      </c>
      <c r="C21" s="341"/>
      <c r="D21" s="419">
        <v>27181.129235168599</v>
      </c>
      <c r="E21" s="125"/>
      <c r="F21" s="50">
        <f t="shared" si="3"/>
        <v>9.5506594263755629E-2</v>
      </c>
      <c r="G21" s="341"/>
      <c r="H21" s="420">
        <v>1.2768999689881693</v>
      </c>
      <c r="I21" s="341"/>
      <c r="J21" s="125">
        <f t="shared" si="0"/>
        <v>34707.583077450203</v>
      </c>
      <c r="K21" s="125"/>
      <c r="L21" s="50">
        <f t="shared" si="1"/>
        <v>9.660978370616391E-2</v>
      </c>
      <c r="M21" s="50"/>
    </row>
    <row r="22" spans="1:13">
      <c r="A22" s="341"/>
      <c r="B22" s="31">
        <f t="shared" si="2"/>
        <v>2002</v>
      </c>
      <c r="C22" s="341"/>
      <c r="D22" s="419">
        <v>26215.515127654355</v>
      </c>
      <c r="E22" s="125"/>
      <c r="F22" s="50">
        <f t="shared" si="3"/>
        <v>-3.5525165240922862E-2</v>
      </c>
      <c r="G22" s="341"/>
      <c r="H22" s="420">
        <v>1.3079027424500247</v>
      </c>
      <c r="I22" s="341"/>
      <c r="J22" s="125">
        <f t="shared" si="0"/>
        <v>34287.344130199242</v>
      </c>
      <c r="K22" s="125"/>
      <c r="L22" s="50">
        <f t="shared" si="1"/>
        <v>-1.2107986497163825E-2</v>
      </c>
      <c r="M22" s="50"/>
    </row>
    <row r="23" spans="1:13">
      <c r="A23" s="341"/>
      <c r="B23" s="31">
        <f t="shared" si="2"/>
        <v>2003</v>
      </c>
      <c r="C23" s="341"/>
      <c r="D23" s="419">
        <v>25943.810682446496</v>
      </c>
      <c r="E23" s="125"/>
      <c r="F23" s="50">
        <f t="shared" si="3"/>
        <v>-1.0364261159272137E-2</v>
      </c>
      <c r="G23" s="341"/>
      <c r="H23" s="420">
        <v>1.3038558253853287</v>
      </c>
      <c r="I23" s="341"/>
      <c r="J23" s="125">
        <f t="shared" si="0"/>
        <v>33826.988691001985</v>
      </c>
      <c r="K23" s="125"/>
      <c r="L23" s="50">
        <f t="shared" si="1"/>
        <v>-1.3426395390939372E-2</v>
      </c>
      <c r="M23" s="50"/>
    </row>
    <row r="24" spans="1:13">
      <c r="A24" s="341"/>
      <c r="B24" s="31">
        <f t="shared" si="2"/>
        <v>2004</v>
      </c>
      <c r="C24" s="341"/>
      <c r="D24" s="419">
        <v>21100.678141902241</v>
      </c>
      <c r="E24" s="125"/>
      <c r="F24" s="50">
        <f t="shared" si="3"/>
        <v>-0.18667776294795058</v>
      </c>
      <c r="G24" s="341"/>
      <c r="H24" s="420">
        <v>1.540311619193927</v>
      </c>
      <c r="I24" s="341"/>
      <c r="J24" s="125">
        <f t="shared" si="0"/>
        <v>32501.619714843342</v>
      </c>
      <c r="K24" s="125"/>
      <c r="L24" s="50">
        <f t="shared" si="1"/>
        <v>-3.9180814711750944E-2</v>
      </c>
      <c r="M24" s="50"/>
    </row>
    <row r="25" spans="1:13">
      <c r="A25" s="341"/>
      <c r="B25" s="31">
        <f t="shared" si="2"/>
        <v>2005</v>
      </c>
      <c r="C25" s="341"/>
      <c r="D25" s="419">
        <v>19130.834546054772</v>
      </c>
      <c r="E25" s="125"/>
      <c r="F25" s="50">
        <f t="shared" si="3"/>
        <v>-9.3354516030255241E-2</v>
      </c>
      <c r="G25" s="341"/>
      <c r="H25" s="420">
        <v>1.7682060943110782</v>
      </c>
      <c r="I25" s="341"/>
      <c r="J25" s="125">
        <f t="shared" si="0"/>
        <v>33827.258233590954</v>
      </c>
      <c r="K25" s="125"/>
      <c r="L25" s="50">
        <f t="shared" si="1"/>
        <v>4.0786844790452026E-2</v>
      </c>
      <c r="M25" s="50"/>
    </row>
    <row r="26" spans="1:13">
      <c r="A26" s="341"/>
      <c r="B26" s="31">
        <f t="shared" si="2"/>
        <v>2006</v>
      </c>
      <c r="C26" s="341"/>
      <c r="D26" s="419">
        <v>20823.519571190867</v>
      </c>
      <c r="E26" s="125"/>
      <c r="F26" s="50">
        <f t="shared" si="3"/>
        <v>8.8479413747539093E-2</v>
      </c>
      <c r="G26" s="341"/>
      <c r="H26" s="420">
        <v>1.6383929445300716</v>
      </c>
      <c r="I26" s="341"/>
      <c r="J26" s="125">
        <f t="shared" si="0"/>
        <v>34117.107545722982</v>
      </c>
      <c r="K26" s="125"/>
      <c r="L26" s="50">
        <f t="shared" si="1"/>
        <v>8.5685133016251136E-3</v>
      </c>
      <c r="M26" s="50"/>
    </row>
    <row r="27" spans="1:13">
      <c r="A27" s="341"/>
      <c r="B27" s="31">
        <f t="shared" si="2"/>
        <v>2007</v>
      </c>
      <c r="C27" s="341"/>
      <c r="D27" s="419">
        <v>22618.686442477821</v>
      </c>
      <c r="E27" s="125"/>
      <c r="F27" s="50">
        <f t="shared" si="3"/>
        <v>8.6208619304228851E-2</v>
      </c>
      <c r="G27" s="341"/>
      <c r="H27" s="420">
        <v>1.5794235855403378</v>
      </c>
      <c r="I27" s="341"/>
      <c r="J27" s="125">
        <f t="shared" si="0"/>
        <v>35724.486841190948</v>
      </c>
      <c r="K27" s="125"/>
      <c r="L27" s="50">
        <f t="shared" si="1"/>
        <v>4.7113586440872712E-2</v>
      </c>
      <c r="M27" s="50"/>
    </row>
    <row r="28" spans="1:13">
      <c r="A28" s="341"/>
      <c r="B28" s="31">
        <f t="shared" si="2"/>
        <v>2008</v>
      </c>
      <c r="C28" s="341"/>
      <c r="D28" s="419">
        <v>24633.409218477958</v>
      </c>
      <c r="E28" s="125"/>
      <c r="F28" s="50">
        <f t="shared" si="3"/>
        <v>8.9073376613793664E-2</v>
      </c>
      <c r="G28" s="341"/>
      <c r="H28" s="420">
        <v>1.4921619544444276</v>
      </c>
      <c r="I28" s="341"/>
      <c r="J28" s="125">
        <f t="shared" si="0"/>
        <v>36757.036044073451</v>
      </c>
      <c r="K28" s="125"/>
      <c r="L28" s="50">
        <f t="shared" si="1"/>
        <v>2.8903122037066131E-2</v>
      </c>
      <c r="M28" s="50"/>
    </row>
    <row r="29" spans="1:13">
      <c r="A29" s="341"/>
      <c r="B29" s="31">
        <f t="shared" si="2"/>
        <v>2009</v>
      </c>
      <c r="C29" s="341"/>
      <c r="D29" s="419">
        <v>25818.838401672518</v>
      </c>
      <c r="E29" s="125"/>
      <c r="F29" s="50">
        <f t="shared" si="3"/>
        <v>4.8122822654419473E-2</v>
      </c>
      <c r="G29" s="341"/>
      <c r="H29" s="420">
        <v>1.4832505849301667</v>
      </c>
      <c r="I29" s="341"/>
      <c r="J29" s="125">
        <f t="shared" si="0"/>
        <v>38295.807161498211</v>
      </c>
      <c r="K29" s="125"/>
      <c r="L29" s="50">
        <f t="shared" si="1"/>
        <v>4.1863307900552593E-2</v>
      </c>
      <c r="M29" s="50"/>
    </row>
    <row r="30" spans="1:13">
      <c r="A30" s="341"/>
      <c r="B30" s="31">
        <f t="shared" si="2"/>
        <v>2010</v>
      </c>
      <c r="C30" s="341"/>
      <c r="D30" s="419">
        <v>25233.097534702843</v>
      </c>
      <c r="E30" s="125"/>
      <c r="F30" s="50">
        <f t="shared" si="3"/>
        <v>-2.2686569312573401E-2</v>
      </c>
      <c r="G30" s="341"/>
      <c r="H30" s="420">
        <v>1.4555085911822336</v>
      </c>
      <c r="I30" s="341"/>
      <c r="J30" s="125">
        <f t="shared" si="0"/>
        <v>36726.990243899229</v>
      </c>
      <c r="K30" s="125"/>
      <c r="L30" s="50">
        <f t="shared" si="1"/>
        <v>-4.0965761890931929E-2</v>
      </c>
      <c r="M30" s="50"/>
    </row>
    <row r="31" spans="1:13">
      <c r="A31" s="341"/>
      <c r="B31" s="31">
        <f t="shared" si="2"/>
        <v>2011</v>
      </c>
      <c r="C31" s="341"/>
      <c r="D31" s="419">
        <v>24780.221603143862</v>
      </c>
      <c r="E31" s="125"/>
      <c r="F31" s="50">
        <f t="shared" si="3"/>
        <v>-1.794769472658464E-2</v>
      </c>
      <c r="G31" s="341"/>
      <c r="H31" s="420">
        <v>1.4354128118167984</v>
      </c>
      <c r="I31" s="341"/>
      <c r="J31" s="125">
        <f t="shared" si="0"/>
        <v>35569.847568812103</v>
      </c>
      <c r="K31" s="125"/>
      <c r="L31" s="50">
        <f t="shared" si="1"/>
        <v>-3.1506602294462116E-2</v>
      </c>
      <c r="M31" s="50"/>
    </row>
    <row r="32" spans="1:13">
      <c r="A32" s="341"/>
      <c r="B32" s="31">
        <f t="shared" si="2"/>
        <v>2012</v>
      </c>
      <c r="C32" s="341"/>
      <c r="D32" s="419">
        <v>24130.016114687871</v>
      </c>
      <c r="E32" s="125"/>
      <c r="F32" s="50">
        <f t="shared" si="3"/>
        <v>-2.6238889178194391E-2</v>
      </c>
      <c r="G32" s="341"/>
      <c r="H32" s="420">
        <v>1.4176324527094646</v>
      </c>
      <c r="I32" s="341"/>
      <c r="J32" s="125">
        <f t="shared" si="0"/>
        <v>34207.49392858387</v>
      </c>
      <c r="K32" s="125"/>
      <c r="L32" s="50">
        <f t="shared" si="1"/>
        <v>-3.8300800631565157E-2</v>
      </c>
      <c r="M32" s="50"/>
    </row>
    <row r="33" spans="1:13">
      <c r="A33" s="341"/>
      <c r="B33" s="31">
        <f t="shared" si="2"/>
        <v>2013</v>
      </c>
      <c r="C33" s="341"/>
      <c r="D33" s="419">
        <v>23410.668250454193</v>
      </c>
      <c r="E33" s="125"/>
      <c r="F33" s="50">
        <f t="shared" si="3"/>
        <v>-2.9811329624260474E-2</v>
      </c>
      <c r="G33" s="341"/>
      <c r="H33" s="420">
        <v>1.3890945538666621</v>
      </c>
      <c r="I33" s="341"/>
      <c r="J33" s="125">
        <f t="shared" si="0"/>
        <v>32519.631769085099</v>
      </c>
      <c r="K33" s="125"/>
      <c r="L33" s="50">
        <f t="shared" si="1"/>
        <v>-4.9341882893338407E-2</v>
      </c>
      <c r="M33" s="50"/>
    </row>
    <row r="34" spans="1:13">
      <c r="A34" s="341"/>
      <c r="B34" s="31">
        <f t="shared" si="2"/>
        <v>2014</v>
      </c>
      <c r="C34" s="341"/>
      <c r="D34" s="419">
        <v>24235.926682552756</v>
      </c>
      <c r="E34" s="125"/>
      <c r="F34" s="50">
        <f t="shared" si="3"/>
        <v>3.5251382970776568E-2</v>
      </c>
      <c r="G34" s="341"/>
      <c r="H34" s="420">
        <v>1.2911632954906382</v>
      </c>
      <c r="I34" s="341"/>
      <c r="J34" s="125">
        <f t="shared" si="0"/>
        <v>31292.538964714309</v>
      </c>
      <c r="K34" s="125"/>
      <c r="L34" s="50">
        <f t="shared" si="1"/>
        <v>-3.7733908338326572E-2</v>
      </c>
      <c r="M34" s="50"/>
    </row>
    <row r="35" spans="1:13">
      <c r="A35" s="341"/>
      <c r="B35" s="31">
        <f t="shared" si="2"/>
        <v>2015</v>
      </c>
      <c r="C35" s="341"/>
      <c r="D35" s="419">
        <v>24529.140209440728</v>
      </c>
      <c r="E35" s="125"/>
      <c r="F35" s="50">
        <f t="shared" si="3"/>
        <v>1.2098300623225366E-2</v>
      </c>
      <c r="G35" s="341"/>
      <c r="H35" s="420">
        <v>1.2728036443398858</v>
      </c>
      <c r="I35" s="341"/>
      <c r="J35" s="125">
        <f>+D35*H35</f>
        <v>31220.779051100188</v>
      </c>
      <c r="K35" s="50"/>
      <c r="L35" s="50">
        <f>+J35/J34-1</f>
        <v>-2.2931956302759682E-3</v>
      </c>
      <c r="M35" s="50"/>
    </row>
    <row r="36" spans="1:13">
      <c r="A36" s="341"/>
      <c r="B36" s="31">
        <f t="shared" si="2"/>
        <v>2016</v>
      </c>
      <c r="C36" s="341"/>
      <c r="D36" s="419">
        <v>23988.836381910045</v>
      </c>
      <c r="E36" s="125"/>
      <c r="F36" s="50">
        <f t="shared" si="3"/>
        <v>-2.2027018595732528E-2</v>
      </c>
      <c r="G36" s="341"/>
      <c r="H36" s="420">
        <v>1.2568082457956447</v>
      </c>
      <c r="I36" s="341"/>
      <c r="J36" s="125">
        <f>+D36*H36</f>
        <v>30149.367371827102</v>
      </c>
      <c r="K36" s="50"/>
      <c r="L36" s="50">
        <f>+J36/J35-1</f>
        <v>-3.4317262792176506E-2</v>
      </c>
      <c r="M36" s="50"/>
    </row>
    <row r="37" spans="1:13">
      <c r="A37" s="341"/>
      <c r="B37" s="31">
        <f t="shared" si="2"/>
        <v>2017</v>
      </c>
      <c r="C37" s="341"/>
      <c r="D37" s="419">
        <v>24168.056574434653</v>
      </c>
      <c r="E37" s="125"/>
      <c r="F37" s="50">
        <f t="shared" si="3"/>
        <v>7.4709831553045891E-3</v>
      </c>
      <c r="G37" s="341"/>
      <c r="H37" s="420">
        <v>1.2240008611148392</v>
      </c>
      <c r="I37" s="341"/>
      <c r="J37" s="125">
        <f>+D37*H37</f>
        <v>29581.722058580166</v>
      </c>
      <c r="K37" s="50"/>
      <c r="L37" s="50">
        <f>+J37/J36-1</f>
        <v>-1.8827768630972019E-2</v>
      </c>
      <c r="M37" s="50"/>
    </row>
    <row r="38" spans="1:13">
      <c r="A38" s="341"/>
      <c r="B38" s="31">
        <f t="shared" si="2"/>
        <v>2018</v>
      </c>
      <c r="C38" s="341"/>
      <c r="D38" s="419">
        <v>24987.874361242619</v>
      </c>
      <c r="E38" s="125"/>
      <c r="F38" s="50">
        <f t="shared" si="3"/>
        <v>3.3921543682382094E-2</v>
      </c>
      <c r="G38" s="341"/>
      <c r="H38" s="420">
        <v>1.1924059199354926</v>
      </c>
      <c r="I38" s="341"/>
      <c r="J38" s="125">
        <f>+D38*H38</f>
        <v>29795.689314950014</v>
      </c>
      <c r="K38" s="50"/>
      <c r="L38" s="50">
        <f>+J38/J37-1</f>
        <v>7.2330899447345942E-3</v>
      </c>
      <c r="M38" s="50"/>
    </row>
    <row r="39" spans="1:13">
      <c r="A39" s="341"/>
      <c r="B39" s="31">
        <f t="shared" si="2"/>
        <v>2019</v>
      </c>
      <c r="C39" s="341"/>
      <c r="D39" s="419">
        <v>26658.746436517802</v>
      </c>
      <c r="E39" s="125"/>
      <c r="F39" s="50">
        <f t="shared" si="3"/>
        <v>6.6867315367440172E-2</v>
      </c>
      <c r="G39" s="341"/>
      <c r="H39" s="420">
        <v>1.1601662909106349</v>
      </c>
      <c r="I39" s="341"/>
      <c r="J39" s="125">
        <f t="shared" ref="J39:J42" si="4">+D39*H39</f>
        <v>30928.578973581964</v>
      </c>
      <c r="K39" s="50"/>
      <c r="L39" s="50">
        <f t="shared" ref="L39:L42" si="5">+J39/J38-1</f>
        <v>3.8021931516903029E-2</v>
      </c>
      <c r="M39" s="50"/>
    </row>
    <row r="40" spans="1:13">
      <c r="A40" s="341"/>
      <c r="B40" s="31">
        <f t="shared" si="2"/>
        <v>2020</v>
      </c>
      <c r="C40" s="341"/>
      <c r="D40" s="419">
        <v>28180.099204629721</v>
      </c>
      <c r="E40" s="125"/>
      <c r="F40" s="50">
        <f t="shared" si="3"/>
        <v>5.7067678397208166E-2</v>
      </c>
      <c r="G40" s="341"/>
      <c r="H40" s="420">
        <v>1.1266958964572658</v>
      </c>
      <c r="I40" s="341"/>
      <c r="J40" s="125">
        <f t="shared" si="4"/>
        <v>31750.402135614964</v>
      </c>
      <c r="K40" s="50"/>
      <c r="L40" s="50">
        <f t="shared" si="5"/>
        <v>2.6571643098603825E-2</v>
      </c>
      <c r="M40" s="50"/>
    </row>
    <row r="41" spans="1:13">
      <c r="A41" s="377"/>
      <c r="B41" s="31">
        <f t="shared" si="2"/>
        <v>2021</v>
      </c>
      <c r="C41" s="377"/>
      <c r="D41" s="419">
        <v>28261.075292267462</v>
      </c>
      <c r="E41" s="125"/>
      <c r="F41" s="50">
        <f t="shared" si="3"/>
        <v>2.8735203183543057E-3</v>
      </c>
      <c r="G41" s="377"/>
      <c r="H41" s="420">
        <v>1.0861174619609431</v>
      </c>
      <c r="I41" s="377"/>
      <c r="J41" s="125">
        <f t="shared" si="4"/>
        <v>30694.847368724651</v>
      </c>
      <c r="K41" s="50"/>
      <c r="L41" s="50">
        <f t="shared" si="5"/>
        <v>-3.3245398353751177E-2</v>
      </c>
      <c r="M41" s="50"/>
    </row>
    <row r="42" spans="1:13">
      <c r="A42" s="341"/>
      <c r="B42" s="31">
        <f t="shared" si="2"/>
        <v>2022</v>
      </c>
      <c r="C42" s="341"/>
      <c r="D42" s="419">
        <v>30210.840947841338</v>
      </c>
      <c r="E42" s="125"/>
      <c r="F42" s="50">
        <f t="shared" si="3"/>
        <v>6.8991205586128368E-2</v>
      </c>
      <c r="G42" s="341"/>
      <c r="H42" s="420">
        <v>1.0552944224694554</v>
      </c>
      <c r="I42" s="341"/>
      <c r="J42" s="125">
        <f t="shared" si="4"/>
        <v>31881.3319503688</v>
      </c>
      <c r="K42" s="50"/>
      <c r="L42" s="50">
        <f t="shared" si="5"/>
        <v>3.8654193890961475E-2</v>
      </c>
      <c r="M42" s="50"/>
    </row>
    <row r="43" spans="1:13">
      <c r="A43" s="341"/>
      <c r="B43" s="341"/>
      <c r="C43" s="341"/>
      <c r="D43" s="341"/>
      <c r="E43" s="341"/>
      <c r="F43" s="341"/>
      <c r="G43" s="341"/>
      <c r="H43" s="341"/>
      <c r="I43" s="341"/>
      <c r="J43" s="341"/>
      <c r="K43" s="341"/>
      <c r="L43" s="341"/>
      <c r="M43" s="341"/>
    </row>
    <row r="44" spans="1:13">
      <c r="A44" s="341"/>
      <c r="B44" s="274" t="s">
        <v>51</v>
      </c>
      <c r="C44" s="57"/>
      <c r="D44" s="341"/>
      <c r="E44" s="341"/>
      <c r="F44" s="341"/>
      <c r="G44" s="341"/>
      <c r="H44" s="341"/>
      <c r="I44" s="199" t="str">
        <f>"Estimated Annual Exponential Trend Based on "&amp;$B$10&amp;" to "&amp;$B$42&amp;":"</f>
        <v>Estimated Annual Exponential Trend Based on 1990 to 2022:</v>
      </c>
      <c r="J44" s="341"/>
      <c r="K44" s="50"/>
      <c r="L44" s="347">
        <f>LOGEST($J$10:$J$42)-1</f>
        <v>8.2413719429146326E-3</v>
      </c>
      <c r="M44" s="50"/>
    </row>
    <row r="45" spans="1:13">
      <c r="A45" s="341"/>
      <c r="B45" s="274" t="s">
        <v>130</v>
      </c>
      <c r="C45" s="57"/>
      <c r="D45" s="341"/>
      <c r="E45" s="341"/>
      <c r="F45" s="341"/>
      <c r="G45" s="341"/>
      <c r="H45" s="341"/>
      <c r="I45" s="199" t="str">
        <f>"Estimated Annual Exponential Trend Based on "&amp;$B$25&amp;" to "&amp;$B$42&amp;":"</f>
        <v>Estimated Annual Exponential Trend Based on 2005 to 2022:</v>
      </c>
      <c r="J45" s="341"/>
      <c r="K45" s="50"/>
      <c r="L45" s="347">
        <f>LOGEST($J$25:$J$42)-1</f>
        <v>-1.1223932287382055E-2</v>
      </c>
      <c r="M45" s="50"/>
    </row>
    <row r="46" spans="1:13">
      <c r="A46" s="341"/>
      <c r="B46" s="274" t="s">
        <v>205</v>
      </c>
      <c r="C46" s="57"/>
      <c r="D46" s="341"/>
      <c r="E46" s="341"/>
      <c r="F46" s="341"/>
      <c r="G46" s="341"/>
      <c r="H46" s="341"/>
      <c r="I46" s="199" t="str">
        <f>"Estimated Annual Exponential Trend Based on "&amp;$B$38&amp;" to "&amp;$B$42&amp;":"</f>
        <v>Estimated Annual Exponential Trend Based on 2018 to 2022:</v>
      </c>
      <c r="J46" s="341"/>
      <c r="K46" s="50"/>
      <c r="L46" s="347">
        <f>LOGEST($J$38:$J$42)-1</f>
        <v>1.2854717381530101E-2</v>
      </c>
      <c r="M46" s="50"/>
    </row>
    <row r="47" spans="1:13">
      <c r="A47" s="341"/>
      <c r="B47" s="274"/>
      <c r="C47" s="341"/>
      <c r="D47" s="341"/>
      <c r="E47" s="341"/>
      <c r="F47" s="341"/>
      <c r="G47" s="341"/>
      <c r="H47" s="341"/>
      <c r="I47" s="341"/>
      <c r="J47" s="341"/>
      <c r="K47" s="50"/>
      <c r="L47" s="50"/>
      <c r="M47" s="50"/>
    </row>
    <row r="48" spans="1:13">
      <c r="A48" s="341"/>
      <c r="B48" s="274"/>
      <c r="C48" s="341"/>
      <c r="D48" s="341"/>
      <c r="E48" s="341"/>
      <c r="F48" s="341"/>
      <c r="G48" s="341"/>
      <c r="H48" s="341"/>
      <c r="I48" s="199" t="s">
        <v>423</v>
      </c>
      <c r="J48" s="50"/>
      <c r="K48" s="50"/>
      <c r="L48" s="147">
        <v>0.01</v>
      </c>
      <c r="M48" s="50"/>
    </row>
    <row r="49" spans="1:13">
      <c r="A49" s="341"/>
      <c r="B49" s="274"/>
      <c r="C49" s="341"/>
      <c r="D49" s="341"/>
      <c r="E49" s="341"/>
      <c r="F49" s="341"/>
      <c r="G49" s="341"/>
      <c r="H49" s="341"/>
      <c r="I49" s="341"/>
      <c r="J49" s="50"/>
      <c r="K49" s="50"/>
      <c r="L49" s="50"/>
      <c r="M49" s="50"/>
    </row>
    <row r="50" spans="1:13">
      <c r="A50" s="341"/>
      <c r="B50" s="274"/>
      <c r="C50" s="341"/>
      <c r="D50" s="341"/>
      <c r="E50" s="341"/>
      <c r="F50" s="341"/>
      <c r="G50" s="341"/>
      <c r="H50" s="341"/>
      <c r="I50" s="341"/>
      <c r="J50" s="50"/>
      <c r="K50" s="50"/>
      <c r="L50" s="50"/>
      <c r="M50" s="50"/>
    </row>
    <row r="51" spans="1:13">
      <c r="A51" s="341"/>
      <c r="B51" s="123" t="s">
        <v>317</v>
      </c>
      <c r="C51" s="341"/>
      <c r="D51" s="341"/>
      <c r="E51" s="341"/>
      <c r="F51" s="341"/>
      <c r="G51" s="341"/>
      <c r="H51" s="341"/>
      <c r="I51" s="341"/>
      <c r="J51" s="50"/>
      <c r="K51" s="50"/>
      <c r="L51" s="50"/>
      <c r="M51" s="50"/>
    </row>
    <row r="52" spans="1:13">
      <c r="A52" s="341"/>
      <c r="B52" s="341"/>
      <c r="C52" s="341"/>
      <c r="D52" s="341"/>
      <c r="E52" s="341"/>
      <c r="F52" s="341"/>
      <c r="G52" s="341"/>
      <c r="H52" s="341"/>
      <c r="I52" s="341"/>
      <c r="J52" s="50"/>
      <c r="K52" s="50"/>
      <c r="L52" s="50"/>
      <c r="M52" s="50"/>
    </row>
    <row r="53" spans="1:13">
      <c r="A53" s="341"/>
      <c r="B53" s="341" t="s">
        <v>424</v>
      </c>
      <c r="C53" s="341"/>
      <c r="D53" s="341"/>
      <c r="E53" s="341"/>
      <c r="F53" s="341"/>
      <c r="G53" s="341"/>
      <c r="H53" s="341"/>
      <c r="I53" s="341"/>
      <c r="J53" s="50"/>
      <c r="K53" s="50"/>
      <c r="L53" s="50"/>
      <c r="M53" s="50"/>
    </row>
  </sheetData>
  <printOptions horizontalCentered="1"/>
  <pageMargins left="0.5" right="0.5" top="0.75" bottom="0.75" header="0.33" footer="0.33"/>
  <pageSetup orientation="portrait" blackAndWhite="1" r:id="rId1"/>
  <headerFooter scaleWithDoc="0">
    <oddHeader>&amp;R&amp;"Arial,Regular"&amp;10Exhibit 6.2</oddHeader>
  </headerFooter>
  <ignoredErrors>
    <ignoredError sqref="D4:L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M52"/>
  <sheetViews>
    <sheetView zoomScaleNormal="100" zoomScaleSheetLayoutView="100" workbookViewId="0"/>
  </sheetViews>
  <sheetFormatPr defaultColWidth="9.1796875" defaultRowHeight="12.5"/>
  <cols>
    <col min="1" max="1" width="4" style="89" customWidth="1"/>
    <col min="2" max="2" width="9.1796875" style="89"/>
    <col min="3" max="3" width="5" style="89" customWidth="1"/>
    <col min="4" max="4" width="9.1796875" style="89"/>
    <col min="5" max="5" width="5" style="89" customWidth="1"/>
    <col min="6" max="6" width="9.1796875" style="89"/>
    <col min="7" max="7" width="5" style="89" customWidth="1"/>
    <col min="8" max="8" width="9.1796875" style="89"/>
    <col min="9" max="9" width="5" style="89" customWidth="1"/>
    <col min="10" max="10" width="9.1796875" style="89"/>
    <col min="11" max="11" width="5" style="89" customWidth="1"/>
    <col min="12" max="12" width="9.1796875" style="89"/>
    <col min="13" max="13" width="5" style="89" customWidth="1"/>
    <col min="14" max="16384" width="9.1796875" style="89"/>
  </cols>
  <sheetData>
    <row r="1" spans="1:13" ht="13">
      <c r="A1" s="122" t="s">
        <v>197</v>
      </c>
      <c r="B1" s="122"/>
      <c r="C1" s="122"/>
      <c r="D1" s="122"/>
      <c r="E1" s="122"/>
      <c r="F1" s="122"/>
      <c r="G1" s="122"/>
      <c r="H1" s="122"/>
      <c r="I1" s="122"/>
      <c r="J1" s="122"/>
      <c r="K1" s="122"/>
      <c r="L1" s="122"/>
      <c r="M1" s="122"/>
    </row>
    <row r="2" spans="1:13" ht="13">
      <c r="A2" s="122" t="s">
        <v>550</v>
      </c>
      <c r="B2" s="122"/>
      <c r="C2" s="122"/>
      <c r="D2" s="122"/>
      <c r="E2" s="122"/>
      <c r="F2" s="122"/>
      <c r="G2" s="122"/>
      <c r="H2" s="122"/>
      <c r="I2" s="122"/>
      <c r="J2" s="122"/>
      <c r="K2" s="122"/>
      <c r="L2" s="122"/>
      <c r="M2" s="122"/>
    </row>
    <row r="3" spans="1:13">
      <c r="A3" s="341"/>
      <c r="B3" s="341"/>
      <c r="C3" s="341"/>
      <c r="D3" s="341"/>
      <c r="E3" s="341"/>
      <c r="F3" s="341"/>
      <c r="G3" s="341"/>
      <c r="H3" s="341"/>
      <c r="I3" s="341"/>
      <c r="J3" s="341"/>
      <c r="K3" s="341"/>
      <c r="L3" s="341"/>
      <c r="M3" s="341"/>
    </row>
    <row r="4" spans="1:13">
      <c r="A4" s="341"/>
      <c r="B4" s="341"/>
      <c r="C4" s="341"/>
      <c r="D4" s="32" t="s">
        <v>45</v>
      </c>
      <c r="E4" s="32"/>
      <c r="F4" s="32" t="s">
        <v>46</v>
      </c>
      <c r="G4" s="341"/>
      <c r="H4" s="32" t="s">
        <v>47</v>
      </c>
      <c r="I4" s="341"/>
      <c r="J4" s="32" t="s">
        <v>48</v>
      </c>
      <c r="K4" s="32"/>
      <c r="L4" s="32" t="s">
        <v>50</v>
      </c>
      <c r="M4" s="341"/>
    </row>
    <row r="5" spans="1:13">
      <c r="A5" s="341"/>
      <c r="B5" s="341"/>
      <c r="C5" s="341"/>
      <c r="D5" s="31" t="s">
        <v>191</v>
      </c>
      <c r="E5" s="31"/>
      <c r="F5" s="31"/>
      <c r="G5" s="199"/>
      <c r="H5" s="31" t="s">
        <v>5</v>
      </c>
      <c r="I5" s="199"/>
      <c r="J5" s="31" t="s">
        <v>55</v>
      </c>
      <c r="K5" s="31"/>
      <c r="L5" s="31"/>
      <c r="M5" s="31"/>
    </row>
    <row r="6" spans="1:13">
      <c r="A6" s="341"/>
      <c r="B6" s="31" t="s">
        <v>192</v>
      </c>
      <c r="C6" s="341"/>
      <c r="D6" s="31" t="s">
        <v>55</v>
      </c>
      <c r="E6" s="31"/>
      <c r="F6" s="31" t="s">
        <v>63</v>
      </c>
      <c r="G6" s="199"/>
      <c r="H6" s="31" t="s">
        <v>138</v>
      </c>
      <c r="I6" s="199"/>
      <c r="J6" s="31" t="s">
        <v>119</v>
      </c>
      <c r="K6" s="31"/>
      <c r="L6" s="31" t="s">
        <v>63</v>
      </c>
      <c r="M6" s="31"/>
    </row>
    <row r="7" spans="1:13">
      <c r="A7" s="341"/>
      <c r="B7" s="33" t="s">
        <v>8</v>
      </c>
      <c r="C7" s="340"/>
      <c r="D7" s="33" t="s">
        <v>198</v>
      </c>
      <c r="E7" s="33"/>
      <c r="F7" s="33" t="s">
        <v>194</v>
      </c>
      <c r="G7" s="70"/>
      <c r="H7" s="33" t="s">
        <v>199</v>
      </c>
      <c r="I7" s="70"/>
      <c r="J7" s="33" t="s">
        <v>193</v>
      </c>
      <c r="K7" s="33"/>
      <c r="L7" s="33" t="s">
        <v>194</v>
      </c>
      <c r="M7" s="33"/>
    </row>
    <row r="8" spans="1:13">
      <c r="A8" s="341"/>
      <c r="B8" s="31"/>
      <c r="C8" s="341"/>
      <c r="D8" s="125"/>
      <c r="E8" s="125"/>
      <c r="F8" s="125"/>
      <c r="G8" s="341"/>
      <c r="H8" s="44"/>
      <c r="I8" s="341"/>
      <c r="J8" s="272" t="s">
        <v>195</v>
      </c>
      <c r="K8" s="341"/>
      <c r="L8" s="31"/>
      <c r="M8" s="341"/>
    </row>
    <row r="9" spans="1:13">
      <c r="A9" s="341"/>
      <c r="B9" s="31"/>
      <c r="C9" s="341"/>
      <c r="D9" s="125"/>
      <c r="E9" s="125"/>
      <c r="F9" s="125"/>
      <c r="G9" s="341"/>
      <c r="H9" s="44"/>
      <c r="I9" s="341"/>
      <c r="J9" s="341"/>
      <c r="K9" s="341"/>
      <c r="L9" s="31"/>
      <c r="M9" s="341"/>
    </row>
    <row r="10" spans="1:13">
      <c r="A10" s="341"/>
      <c r="B10" s="31">
        <f>+'Exhibit 6.2'!B10</f>
        <v>1990</v>
      </c>
      <c r="C10" s="341"/>
      <c r="D10" s="419">
        <v>8839.8383370983665</v>
      </c>
      <c r="E10" s="125"/>
      <c r="F10" s="273" t="s">
        <v>32</v>
      </c>
      <c r="G10" s="341"/>
      <c r="H10" s="420">
        <v>0.96443314046810946</v>
      </c>
      <c r="I10" s="341"/>
      <c r="J10" s="125">
        <f t="shared" ref="J10:J35" si="0">+ROUND(H10*D10,0)</f>
        <v>8525</v>
      </c>
      <c r="K10" s="273"/>
      <c r="L10" s="273" t="s">
        <v>32</v>
      </c>
      <c r="M10" s="273"/>
    </row>
    <row r="11" spans="1:13">
      <c r="A11" s="341"/>
      <c r="B11" s="31">
        <f>+'Exhibit 6.2'!B11</f>
        <v>1991</v>
      </c>
      <c r="C11" s="341"/>
      <c r="D11" s="419">
        <v>9526.5666830739101</v>
      </c>
      <c r="E11" s="125"/>
      <c r="F11" s="50">
        <f t="shared" ref="F11:F28" si="1">+D11/D10-1</f>
        <v>7.7685622721575642E-2</v>
      </c>
      <c r="G11" s="341"/>
      <c r="H11" s="420">
        <v>0.94605693064721785</v>
      </c>
      <c r="I11" s="341"/>
      <c r="J11" s="125">
        <f t="shared" si="0"/>
        <v>9013</v>
      </c>
      <c r="K11" s="50"/>
      <c r="L11" s="50">
        <f t="shared" ref="L11:L30" si="2">+J11/J10-1</f>
        <v>5.7243401759530688E-2</v>
      </c>
      <c r="M11" s="50"/>
    </row>
    <row r="12" spans="1:13">
      <c r="A12" s="341"/>
      <c r="B12" s="31">
        <f>+'Exhibit 6.2'!B12</f>
        <v>1992</v>
      </c>
      <c r="C12" s="341"/>
      <c r="D12" s="419">
        <v>9596.3488264391235</v>
      </c>
      <c r="E12" s="125"/>
      <c r="F12" s="50">
        <f t="shared" si="1"/>
        <v>7.3250044519392876E-3</v>
      </c>
      <c r="G12" s="341"/>
      <c r="H12" s="420">
        <v>0.91393221334803443</v>
      </c>
      <c r="I12" s="341"/>
      <c r="J12" s="125">
        <f t="shared" si="0"/>
        <v>8770</v>
      </c>
      <c r="K12" s="50"/>
      <c r="L12" s="50">
        <f t="shared" si="2"/>
        <v>-2.696105625208034E-2</v>
      </c>
      <c r="M12" s="50"/>
    </row>
    <row r="13" spans="1:13">
      <c r="A13" s="341"/>
      <c r="B13" s="31">
        <f>+'Exhibit 6.2'!B13</f>
        <v>1993</v>
      </c>
      <c r="C13" s="341"/>
      <c r="D13" s="419">
        <v>10457.30152638232</v>
      </c>
      <c r="E13" s="125"/>
      <c r="F13" s="50">
        <f t="shared" si="1"/>
        <v>8.9716694913295036E-2</v>
      </c>
      <c r="G13" s="341"/>
      <c r="H13" s="420">
        <v>0.89617803038801758</v>
      </c>
      <c r="I13" s="341"/>
      <c r="J13" s="125">
        <f t="shared" si="0"/>
        <v>9372</v>
      </c>
      <c r="K13" s="50"/>
      <c r="L13" s="50">
        <f t="shared" si="2"/>
        <v>6.8643101482326108E-2</v>
      </c>
      <c r="M13" s="50"/>
    </row>
    <row r="14" spans="1:13">
      <c r="A14" s="341"/>
      <c r="B14" s="31">
        <f>+'Exhibit 6.2'!B14</f>
        <v>1994</v>
      </c>
      <c r="C14" s="341"/>
      <c r="D14" s="419">
        <v>11494.630021680443</v>
      </c>
      <c r="E14" s="125"/>
      <c r="F14" s="50">
        <f t="shared" si="1"/>
        <v>9.9196575013265731E-2</v>
      </c>
      <c r="G14" s="341"/>
      <c r="H14" s="420">
        <v>0.94176115375191805</v>
      </c>
      <c r="I14" s="341"/>
      <c r="J14" s="125">
        <f t="shared" si="0"/>
        <v>10825</v>
      </c>
      <c r="K14" s="50"/>
      <c r="L14" s="50">
        <f t="shared" si="2"/>
        <v>0.15503627827571487</v>
      </c>
      <c r="M14" s="50"/>
    </row>
    <row r="15" spans="1:13">
      <c r="A15" s="341"/>
      <c r="B15" s="31">
        <f>+'Exhibit 6.2'!B15</f>
        <v>1995</v>
      </c>
      <c r="C15" s="341"/>
      <c r="D15" s="419">
        <v>13269.639497619566</v>
      </c>
      <c r="E15" s="125"/>
      <c r="F15" s="50">
        <f t="shared" si="1"/>
        <v>0.15442075757037954</v>
      </c>
      <c r="G15" s="341"/>
      <c r="H15" s="420">
        <v>0.93336090560150464</v>
      </c>
      <c r="I15" s="341"/>
      <c r="J15" s="125">
        <f t="shared" si="0"/>
        <v>12385</v>
      </c>
      <c r="K15" s="50"/>
      <c r="L15" s="50">
        <f t="shared" si="2"/>
        <v>0.14411085450346417</v>
      </c>
      <c r="M15" s="50"/>
    </row>
    <row r="16" spans="1:13">
      <c r="A16" s="341"/>
      <c r="B16" s="31">
        <f>+'Exhibit 6.2'!B16</f>
        <v>1996</v>
      </c>
      <c r="C16" s="341"/>
      <c r="D16" s="419">
        <v>14362.810800864192</v>
      </c>
      <c r="E16" s="125"/>
      <c r="F16" s="50">
        <f t="shared" si="1"/>
        <v>8.238138673177442E-2</v>
      </c>
      <c r="G16" s="341"/>
      <c r="H16" s="420">
        <v>0.92411970851634118</v>
      </c>
      <c r="I16" s="341"/>
      <c r="J16" s="125">
        <f t="shared" si="0"/>
        <v>13273</v>
      </c>
      <c r="K16" s="50"/>
      <c r="L16" s="50">
        <f t="shared" si="2"/>
        <v>7.1699636657246657E-2</v>
      </c>
      <c r="M16" s="50"/>
    </row>
    <row r="17" spans="1:13">
      <c r="A17" s="341"/>
      <c r="B17" s="31">
        <f>+'Exhibit 6.2'!B17</f>
        <v>1997</v>
      </c>
      <c r="C17" s="341"/>
      <c r="D17" s="419">
        <v>16854.70002305357</v>
      </c>
      <c r="E17" s="125"/>
      <c r="F17" s="50">
        <f t="shared" si="1"/>
        <v>0.17349593033972455</v>
      </c>
      <c r="G17" s="341"/>
      <c r="H17" s="420">
        <v>0.91769583765277185</v>
      </c>
      <c r="I17" s="341"/>
      <c r="J17" s="125">
        <f t="shared" si="0"/>
        <v>15467</v>
      </c>
      <c r="K17" s="50"/>
      <c r="L17" s="50">
        <f t="shared" si="2"/>
        <v>0.16529797332931517</v>
      </c>
      <c r="M17" s="50"/>
    </row>
    <row r="18" spans="1:13">
      <c r="A18" s="341"/>
      <c r="B18" s="31">
        <f>+'Exhibit 6.2'!B18</f>
        <v>1998</v>
      </c>
      <c r="C18" s="341"/>
      <c r="D18" s="419">
        <v>20548.10977920629</v>
      </c>
      <c r="E18" s="125"/>
      <c r="F18" s="50">
        <f t="shared" si="1"/>
        <v>0.21913233407304422</v>
      </c>
      <c r="G18" s="341"/>
      <c r="H18" s="420">
        <v>0.80853688930190093</v>
      </c>
      <c r="I18" s="341"/>
      <c r="J18" s="125">
        <f t="shared" si="0"/>
        <v>16614</v>
      </c>
      <c r="K18" s="50"/>
      <c r="L18" s="50">
        <f t="shared" si="2"/>
        <v>7.4157884528350593E-2</v>
      </c>
      <c r="M18" s="50"/>
    </row>
    <row r="19" spans="1:13">
      <c r="A19" s="341"/>
      <c r="B19" s="31">
        <f>+'Exhibit 6.2'!B19</f>
        <v>1999</v>
      </c>
      <c r="C19" s="341"/>
      <c r="D19" s="419">
        <v>23564.66115727149</v>
      </c>
      <c r="E19" s="125"/>
      <c r="F19" s="50">
        <f t="shared" si="1"/>
        <v>0.14680432460594539</v>
      </c>
      <c r="G19" s="341"/>
      <c r="H19" s="420">
        <v>0.7005474932217659</v>
      </c>
      <c r="I19" s="341"/>
      <c r="J19" s="125">
        <f t="shared" si="0"/>
        <v>16508</v>
      </c>
      <c r="K19" s="50"/>
      <c r="L19" s="50">
        <f t="shared" si="2"/>
        <v>-6.38016130973873E-3</v>
      </c>
      <c r="M19" s="50"/>
    </row>
    <row r="20" spans="1:13">
      <c r="A20" s="341"/>
      <c r="B20" s="31">
        <f>+'Exhibit 6.2'!B20</f>
        <v>2000</v>
      </c>
      <c r="C20" s="341"/>
      <c r="D20" s="419">
        <v>26456.718777662554</v>
      </c>
      <c r="E20" s="125"/>
      <c r="F20" s="50">
        <f t="shared" si="1"/>
        <v>0.12272858926718078</v>
      </c>
      <c r="G20" s="341"/>
      <c r="H20" s="420">
        <v>0.64377314000474728</v>
      </c>
      <c r="I20" s="341"/>
      <c r="J20" s="125">
        <f t="shared" si="0"/>
        <v>17032</v>
      </c>
      <c r="K20" s="50"/>
      <c r="L20" s="50">
        <f t="shared" si="2"/>
        <v>3.174218560697839E-2</v>
      </c>
      <c r="M20" s="50"/>
    </row>
    <row r="21" spans="1:13">
      <c r="A21" s="341"/>
      <c r="B21" s="31">
        <f>+'Exhibit 6.2'!B21</f>
        <v>2001</v>
      </c>
      <c r="C21" s="341"/>
      <c r="D21" s="419">
        <v>31206.843140461602</v>
      </c>
      <c r="E21" s="125"/>
      <c r="F21" s="50">
        <f t="shared" si="1"/>
        <v>0.17954321557099462</v>
      </c>
      <c r="G21" s="341"/>
      <c r="H21" s="420">
        <v>0.58689481582398195</v>
      </c>
      <c r="I21" s="341"/>
      <c r="J21" s="125">
        <f t="shared" si="0"/>
        <v>18315</v>
      </c>
      <c r="K21" s="50"/>
      <c r="L21" s="50">
        <f t="shared" si="2"/>
        <v>7.5328792860497984E-2</v>
      </c>
      <c r="M21" s="50"/>
    </row>
    <row r="22" spans="1:13">
      <c r="A22" s="341"/>
      <c r="B22" s="31">
        <f>+'Exhibit 6.2'!B22</f>
        <v>2002</v>
      </c>
      <c r="C22" s="341"/>
      <c r="D22" s="419">
        <v>31301.200419183682</v>
      </c>
      <c r="E22" s="125"/>
      <c r="F22" s="50">
        <f t="shared" si="1"/>
        <v>3.0236085815338321E-3</v>
      </c>
      <c r="G22" s="341"/>
      <c r="H22" s="420">
        <v>0.60952020586571742</v>
      </c>
      <c r="I22" s="341"/>
      <c r="J22" s="125">
        <f t="shared" si="0"/>
        <v>19079</v>
      </c>
      <c r="K22" s="50"/>
      <c r="L22" s="50">
        <f t="shared" si="2"/>
        <v>4.1714441714441719E-2</v>
      </c>
      <c r="M22" s="50"/>
    </row>
    <row r="23" spans="1:13">
      <c r="A23" s="341"/>
      <c r="B23" s="31">
        <f>+'Exhibit 6.2'!B23</f>
        <v>2003</v>
      </c>
      <c r="C23" s="341"/>
      <c r="D23" s="419">
        <v>29892.667804910754</v>
      </c>
      <c r="E23" s="125"/>
      <c r="F23" s="50">
        <f t="shared" si="1"/>
        <v>-4.4999316173499726E-2</v>
      </c>
      <c r="G23" s="341"/>
      <c r="H23" s="420">
        <v>0.63947312714100191</v>
      </c>
      <c r="I23" s="341"/>
      <c r="J23" s="125">
        <f t="shared" si="0"/>
        <v>19116</v>
      </c>
      <c r="K23" s="50"/>
      <c r="L23" s="50">
        <f t="shared" si="2"/>
        <v>1.9393049950207075E-3</v>
      </c>
      <c r="M23" s="50"/>
    </row>
    <row r="24" spans="1:13">
      <c r="A24" s="341"/>
      <c r="B24" s="31">
        <f>+'Exhibit 6.2'!B24</f>
        <v>2004</v>
      </c>
      <c r="C24" s="341"/>
      <c r="D24" s="419">
        <v>27415.900530246217</v>
      </c>
      <c r="E24" s="125"/>
      <c r="F24" s="50">
        <f t="shared" si="1"/>
        <v>-8.2855344020437482E-2</v>
      </c>
      <c r="G24" s="341"/>
      <c r="H24" s="420">
        <v>0.84586392478968508</v>
      </c>
      <c r="I24" s="341"/>
      <c r="J24" s="125">
        <f t="shared" si="0"/>
        <v>23190</v>
      </c>
      <c r="K24" s="50"/>
      <c r="L24" s="50">
        <f t="shared" si="2"/>
        <v>0.21311989956057742</v>
      </c>
      <c r="M24" s="50"/>
    </row>
    <row r="25" spans="1:13">
      <c r="A25" s="341"/>
      <c r="B25" s="31">
        <f>+'Exhibit 6.2'!B25</f>
        <v>2005</v>
      </c>
      <c r="C25" s="341"/>
      <c r="D25" s="419">
        <v>28244.508715407777</v>
      </c>
      <c r="E25" s="125"/>
      <c r="F25" s="50">
        <f t="shared" si="1"/>
        <v>3.0223635523020986E-2</v>
      </c>
      <c r="G25" s="341"/>
      <c r="H25" s="420">
        <v>0.84586392478968508</v>
      </c>
      <c r="I25" s="341"/>
      <c r="J25" s="125">
        <f t="shared" si="0"/>
        <v>23891</v>
      </c>
      <c r="K25" s="50"/>
      <c r="L25" s="50">
        <f t="shared" si="2"/>
        <v>3.0228546787408384E-2</v>
      </c>
      <c r="M25" s="50"/>
    </row>
    <row r="26" spans="1:13">
      <c r="A26" s="341"/>
      <c r="B26" s="31">
        <f>+'Exhibit 6.2'!B26</f>
        <v>2006</v>
      </c>
      <c r="C26" s="341"/>
      <c r="D26" s="419">
        <v>30726.266221124239</v>
      </c>
      <c r="E26" s="125"/>
      <c r="F26" s="50">
        <f t="shared" si="1"/>
        <v>8.7866902934042868E-2</v>
      </c>
      <c r="G26" s="341"/>
      <c r="H26" s="420">
        <v>0.84249143158903439</v>
      </c>
      <c r="I26" s="341"/>
      <c r="J26" s="125">
        <f t="shared" si="0"/>
        <v>25887</v>
      </c>
      <c r="K26" s="50"/>
      <c r="L26" s="50">
        <f t="shared" si="2"/>
        <v>8.3546105227910061E-2</v>
      </c>
      <c r="M26" s="50"/>
    </row>
    <row r="27" spans="1:13">
      <c r="A27" s="341"/>
      <c r="B27" s="31">
        <f>+'Exhibit 6.2'!B27</f>
        <v>2007</v>
      </c>
      <c r="C27" s="341"/>
      <c r="D27" s="419">
        <v>33996.610622745051</v>
      </c>
      <c r="E27" s="125"/>
      <c r="F27" s="50">
        <f t="shared" si="1"/>
        <v>0.10643481307118452</v>
      </c>
      <c r="G27" s="341"/>
      <c r="H27" s="420">
        <v>0.82676795855326835</v>
      </c>
      <c r="I27" s="341"/>
      <c r="J27" s="125">
        <f t="shared" si="0"/>
        <v>28107</v>
      </c>
      <c r="K27" s="50"/>
      <c r="L27" s="50">
        <f t="shared" si="2"/>
        <v>8.5757329933943582E-2</v>
      </c>
      <c r="M27" s="50"/>
    </row>
    <row r="28" spans="1:13">
      <c r="A28" s="341"/>
      <c r="B28" s="31">
        <f>+'Exhibit 6.2'!B28</f>
        <v>2008</v>
      </c>
      <c r="C28" s="341"/>
      <c r="D28" s="419">
        <v>36477.768255653878</v>
      </c>
      <c r="E28" s="125"/>
      <c r="F28" s="50">
        <f t="shared" si="1"/>
        <v>7.298249994512207E-2</v>
      </c>
      <c r="G28" s="341"/>
      <c r="H28" s="420">
        <v>0.82347078154396636</v>
      </c>
      <c r="I28" s="341"/>
      <c r="J28" s="125">
        <f t="shared" si="0"/>
        <v>30038</v>
      </c>
      <c r="K28" s="50"/>
      <c r="L28" s="50">
        <f t="shared" si="2"/>
        <v>6.8701746895791116E-2</v>
      </c>
      <c r="M28" s="50"/>
    </row>
    <row r="29" spans="1:13">
      <c r="A29" s="341"/>
      <c r="B29" s="31">
        <f>+'Exhibit 6.2'!B29</f>
        <v>2009</v>
      </c>
      <c r="C29" s="341"/>
      <c r="D29" s="419">
        <v>38305.248013377714</v>
      </c>
      <c r="E29" s="125"/>
      <c r="F29" s="50">
        <f>+D29/D28-1</f>
        <v>5.0098452978701191E-2</v>
      </c>
      <c r="G29" s="341"/>
      <c r="H29" s="420">
        <v>0.8201900214581338</v>
      </c>
      <c r="I29" s="341"/>
      <c r="J29" s="125">
        <f t="shared" si="0"/>
        <v>31418</v>
      </c>
      <c r="K29" s="50"/>
      <c r="L29" s="50">
        <f t="shared" si="2"/>
        <v>4.5941807044410421E-2</v>
      </c>
      <c r="M29" s="50"/>
    </row>
    <row r="30" spans="1:13">
      <c r="A30" s="341"/>
      <c r="B30" s="31">
        <f>+'Exhibit 6.2'!B30</f>
        <v>2010</v>
      </c>
      <c r="C30" s="348"/>
      <c r="D30" s="481">
        <v>38181.85059021187</v>
      </c>
      <c r="E30" s="349"/>
      <c r="F30" s="350">
        <f>+D30/D29-1</f>
        <v>-3.2214234227839755E-3</v>
      </c>
      <c r="G30" s="348"/>
      <c r="H30" s="482">
        <v>0.81773681102505869</v>
      </c>
      <c r="I30" s="348"/>
      <c r="J30" s="349">
        <f t="shared" si="0"/>
        <v>31223</v>
      </c>
      <c r="K30" s="350"/>
      <c r="L30" s="350">
        <f t="shared" si="2"/>
        <v>-6.2066331402380603E-3</v>
      </c>
      <c r="M30" s="50"/>
    </row>
    <row r="31" spans="1:13">
      <c r="A31" s="341"/>
      <c r="B31" s="31">
        <f>+'Exhibit 6.2'!B31</f>
        <v>2011</v>
      </c>
      <c r="C31" s="341"/>
      <c r="D31" s="419">
        <v>34340.641918443973</v>
      </c>
      <c r="E31" s="125" t="s">
        <v>38</v>
      </c>
      <c r="F31" s="273" t="s">
        <v>32</v>
      </c>
      <c r="G31" s="341"/>
      <c r="H31" s="420">
        <v>0.84050612186642015</v>
      </c>
      <c r="I31" s="341"/>
      <c r="J31" s="125">
        <f t="shared" si="0"/>
        <v>28864</v>
      </c>
      <c r="K31" s="125" t="s">
        <v>38</v>
      </c>
      <c r="L31" s="273" t="s">
        <v>32</v>
      </c>
      <c r="M31" s="125"/>
    </row>
    <row r="32" spans="1:13">
      <c r="A32" s="341"/>
      <c r="B32" s="31">
        <f>+'Exhibit 6.2'!B32</f>
        <v>2012</v>
      </c>
      <c r="C32" s="341"/>
      <c r="D32" s="419">
        <v>32057.792775431808</v>
      </c>
      <c r="E32" s="125"/>
      <c r="F32" s="50">
        <f t="shared" ref="F32:F42" si="3">+D32/D31-1</f>
        <v>-6.6476600770414618E-2</v>
      </c>
      <c r="G32" s="341"/>
      <c r="H32" s="420">
        <v>0.88759667591015778</v>
      </c>
      <c r="I32" s="341"/>
      <c r="J32" s="125">
        <f t="shared" si="0"/>
        <v>28454</v>
      </c>
      <c r="K32" s="125"/>
      <c r="L32" s="50">
        <f t="shared" ref="L32:L42" si="4">+J32/J31-1</f>
        <v>-1.4204545454545414E-2</v>
      </c>
      <c r="M32" s="125"/>
    </row>
    <row r="33" spans="1:13">
      <c r="A33" s="341"/>
      <c r="B33" s="31">
        <f>+'Exhibit 6.2'!B33</f>
        <v>2013</v>
      </c>
      <c r="C33" s="341"/>
      <c r="D33" s="419">
        <v>29549.569782787687</v>
      </c>
      <c r="E33" s="125"/>
      <c r="F33" s="50">
        <f t="shared" si="3"/>
        <v>-7.8240663985024939E-2</v>
      </c>
      <c r="G33" s="341"/>
      <c r="H33" s="420">
        <v>0.96696833799805193</v>
      </c>
      <c r="I33" s="341"/>
      <c r="J33" s="125">
        <f t="shared" si="0"/>
        <v>28573</v>
      </c>
      <c r="K33" s="125"/>
      <c r="L33" s="50">
        <f t="shared" si="4"/>
        <v>4.182188795951447E-3</v>
      </c>
      <c r="M33" s="50"/>
    </row>
    <row r="34" spans="1:13">
      <c r="A34" s="341"/>
      <c r="B34" s="31">
        <f>+'Exhibit 6.2'!B34</f>
        <v>2014</v>
      </c>
      <c r="C34" s="341"/>
      <c r="D34" s="419">
        <v>28824.504507750873</v>
      </c>
      <c r="E34" s="125"/>
      <c r="F34" s="50">
        <f t="shared" si="3"/>
        <v>-2.4537253177173368E-2</v>
      </c>
      <c r="G34" s="341"/>
      <c r="H34" s="420">
        <v>1.0288965951644022</v>
      </c>
      <c r="I34" s="341"/>
      <c r="J34" s="125">
        <f t="shared" si="0"/>
        <v>29657</v>
      </c>
      <c r="K34" s="125"/>
      <c r="L34" s="50">
        <f t="shared" si="4"/>
        <v>3.7937913414762159E-2</v>
      </c>
      <c r="M34" s="50"/>
    </row>
    <row r="35" spans="1:13">
      <c r="A35" s="341"/>
      <c r="B35" s="31">
        <f>+'Exhibit 6.2'!B35</f>
        <v>2015</v>
      </c>
      <c r="C35" s="341"/>
      <c r="D35" s="419">
        <v>28095.04222835337</v>
      </c>
      <c r="E35" s="125"/>
      <c r="F35" s="50">
        <f t="shared" si="3"/>
        <v>-2.5307018866581044E-2</v>
      </c>
      <c r="G35" s="341"/>
      <c r="H35" s="420">
        <v>1.0531722147135496</v>
      </c>
      <c r="I35" s="341"/>
      <c r="J35" s="125">
        <f t="shared" si="0"/>
        <v>29589</v>
      </c>
      <c r="K35" s="125"/>
      <c r="L35" s="50">
        <f t="shared" si="4"/>
        <v>-2.2928819502984199E-3</v>
      </c>
      <c r="M35" s="50"/>
    </row>
    <row r="36" spans="1:13">
      <c r="A36" s="341"/>
      <c r="B36" s="31">
        <f>+'Exhibit 6.2'!B36</f>
        <v>2016</v>
      </c>
      <c r="C36" s="341"/>
      <c r="D36" s="419">
        <v>27372.503679957495</v>
      </c>
      <c r="E36" s="125"/>
      <c r="F36" s="50">
        <f t="shared" si="3"/>
        <v>-2.5717653047934941E-2</v>
      </c>
      <c r="G36" s="341"/>
      <c r="H36" s="420">
        <v>1.0542475472117057</v>
      </c>
      <c r="I36" s="341"/>
      <c r="J36" s="125">
        <f>+ROUND(H36*D36,0)</f>
        <v>28857</v>
      </c>
      <c r="K36" s="125"/>
      <c r="L36" s="50">
        <f t="shared" si="4"/>
        <v>-2.4738923248504463E-2</v>
      </c>
      <c r="M36" s="50"/>
    </row>
    <row r="37" spans="1:13" s="101" customFormat="1">
      <c r="A37" s="341"/>
      <c r="B37" s="31">
        <f>+'Exhibit 6.2'!B37</f>
        <v>2017</v>
      </c>
      <c r="C37" s="341"/>
      <c r="D37" s="419">
        <v>27310</v>
      </c>
      <c r="E37" s="125"/>
      <c r="F37" s="50">
        <f t="shared" si="3"/>
        <v>-2.2834476775780432E-3</v>
      </c>
      <c r="G37" s="341"/>
      <c r="H37" s="420">
        <v>1.0553091882550902</v>
      </c>
      <c r="I37" s="341"/>
      <c r="J37" s="125">
        <f>+ROUND(H37*D37,0)</f>
        <v>28820</v>
      </c>
      <c r="K37" s="125"/>
      <c r="L37" s="50">
        <f t="shared" si="4"/>
        <v>-1.2821845652700725E-3</v>
      </c>
      <c r="M37" s="50"/>
    </row>
    <row r="38" spans="1:13" s="166" customFormat="1">
      <c r="A38" s="341"/>
      <c r="B38" s="31">
        <f>+'Exhibit 6.2'!B38</f>
        <v>2018</v>
      </c>
      <c r="C38" s="341"/>
      <c r="D38" s="419">
        <v>28806</v>
      </c>
      <c r="E38" s="125"/>
      <c r="F38" s="50">
        <f t="shared" si="3"/>
        <v>5.4778469425118992E-2</v>
      </c>
      <c r="G38" s="380"/>
      <c r="H38" s="420">
        <v>1.0521506320576532</v>
      </c>
      <c r="I38" s="380"/>
      <c r="J38" s="125">
        <f t="shared" ref="J38:J41" si="5">+ROUND(H38*D38,0)</f>
        <v>30308</v>
      </c>
      <c r="K38" s="125"/>
      <c r="L38" s="50">
        <f t="shared" si="4"/>
        <v>5.1630811936155485E-2</v>
      </c>
      <c r="M38" s="50"/>
    </row>
    <row r="39" spans="1:13" s="209" customFormat="1">
      <c r="A39" s="341"/>
      <c r="B39" s="31">
        <f>+'Exhibit 6.2'!B39</f>
        <v>2019</v>
      </c>
      <c r="C39" s="341"/>
      <c r="D39" s="419">
        <v>29417</v>
      </c>
      <c r="E39" s="125"/>
      <c r="F39" s="50">
        <f t="shared" si="3"/>
        <v>2.1210858848850878E-2</v>
      </c>
      <c r="G39" s="380"/>
      <c r="H39" s="420">
        <v>1.0406740783219193</v>
      </c>
      <c r="I39" s="380"/>
      <c r="J39" s="125">
        <f t="shared" si="5"/>
        <v>30614</v>
      </c>
      <c r="K39" s="125"/>
      <c r="L39" s="50">
        <f t="shared" si="4"/>
        <v>1.0096344199551188E-2</v>
      </c>
      <c r="M39" s="50"/>
    </row>
    <row r="40" spans="1:13" s="229" customFormat="1">
      <c r="A40" s="341"/>
      <c r="B40" s="31">
        <f>+'Exhibit 6.2'!B40</f>
        <v>2020</v>
      </c>
      <c r="C40" s="341"/>
      <c r="D40" s="419">
        <v>30735</v>
      </c>
      <c r="E40" s="125"/>
      <c r="F40" s="50">
        <f t="shared" si="3"/>
        <v>4.4804024883570825E-2</v>
      </c>
      <c r="G40" s="380"/>
      <c r="H40" s="420">
        <v>1.0272824246343857</v>
      </c>
      <c r="I40" s="380"/>
      <c r="J40" s="125">
        <f t="shared" si="5"/>
        <v>31574</v>
      </c>
      <c r="K40" s="125"/>
      <c r="L40" s="50">
        <f t="shared" si="4"/>
        <v>3.1358202129744495E-2</v>
      </c>
      <c r="M40" s="50"/>
    </row>
    <row r="41" spans="1:13" s="229" customFormat="1">
      <c r="A41" s="380"/>
      <c r="B41" s="31">
        <f>+'Exhibit 6.2'!B41</f>
        <v>2021</v>
      </c>
      <c r="C41" s="380"/>
      <c r="D41" s="419">
        <v>30022</v>
      </c>
      <c r="E41" s="125"/>
      <c r="F41" s="50">
        <f t="shared" si="3"/>
        <v>-2.3198308117781008E-2</v>
      </c>
      <c r="G41" s="380"/>
      <c r="H41" s="420">
        <v>1.0170951991199997</v>
      </c>
      <c r="I41" s="380"/>
      <c r="J41" s="125">
        <f t="shared" si="5"/>
        <v>30535</v>
      </c>
      <c r="K41" s="125"/>
      <c r="L41" s="50">
        <f t="shared" si="4"/>
        <v>-3.2906822068790809E-2</v>
      </c>
      <c r="M41" s="50"/>
    </row>
    <row r="42" spans="1:13">
      <c r="A42" s="341"/>
      <c r="B42" s="31">
        <f>+'Exhibit 6.2'!B42</f>
        <v>2022</v>
      </c>
      <c r="C42" s="341"/>
      <c r="D42" s="419">
        <v>29653</v>
      </c>
      <c r="E42" s="125"/>
      <c r="F42" s="50">
        <f t="shared" si="3"/>
        <v>-1.2290986609819421E-2</v>
      </c>
      <c r="G42" s="341"/>
      <c r="H42" s="420">
        <v>1.0080149999999999</v>
      </c>
      <c r="I42" s="341"/>
      <c r="J42" s="125">
        <f t="shared" ref="J42" si="6">+ROUND(H42*D42,0)</f>
        <v>29891</v>
      </c>
      <c r="K42" s="125"/>
      <c r="L42" s="50">
        <f t="shared" si="4"/>
        <v>-2.1090551825773685E-2</v>
      </c>
      <c r="M42" s="50"/>
    </row>
    <row r="43" spans="1:13" s="133" customFormat="1">
      <c r="A43" s="341"/>
      <c r="B43" s="31"/>
      <c r="C43" s="341"/>
      <c r="D43" s="125"/>
      <c r="E43" s="125"/>
      <c r="F43" s="50"/>
      <c r="G43" s="341"/>
      <c r="H43" s="44"/>
      <c r="I43" s="341"/>
      <c r="J43" s="125"/>
      <c r="K43" s="125"/>
      <c r="L43" s="50"/>
      <c r="M43" s="50"/>
    </row>
    <row r="44" spans="1:13">
      <c r="A44" s="341"/>
      <c r="B44" s="199"/>
      <c r="C44" s="341"/>
      <c r="D44" s="341"/>
      <c r="E44" s="341"/>
      <c r="F44" s="341"/>
      <c r="G44" s="341"/>
      <c r="H44" s="341"/>
      <c r="I44" s="341"/>
      <c r="J44" s="341"/>
      <c r="K44" s="341"/>
      <c r="L44" s="341"/>
      <c r="M44" s="341"/>
    </row>
    <row r="45" spans="1:13">
      <c r="A45" s="341"/>
      <c r="B45" s="199"/>
      <c r="C45" s="341"/>
      <c r="D45" s="341"/>
      <c r="E45" s="341"/>
      <c r="F45" s="341"/>
      <c r="G45" s="341"/>
      <c r="H45" s="341"/>
      <c r="I45" s="241" t="s">
        <v>209</v>
      </c>
      <c r="J45" s="341"/>
      <c r="K45" s="341"/>
      <c r="L45" s="50">
        <f>+'Exhibit 6.4'!P37</f>
        <v>1.4999999999999999E-2</v>
      </c>
      <c r="M45" s="341"/>
    </row>
    <row r="46" spans="1:13">
      <c r="A46" s="341"/>
      <c r="B46" s="199"/>
      <c r="C46" s="341"/>
      <c r="D46" s="341"/>
      <c r="E46" s="341"/>
      <c r="F46" s="341"/>
      <c r="G46" s="341"/>
      <c r="H46" s="341"/>
      <c r="I46" s="341"/>
      <c r="J46" s="341"/>
      <c r="K46" s="341"/>
      <c r="L46" s="341"/>
      <c r="M46" s="341"/>
    </row>
    <row r="47" spans="1:13">
      <c r="A47" s="341"/>
      <c r="B47" s="199"/>
      <c r="C47" s="341"/>
      <c r="D47" s="341"/>
      <c r="E47" s="341"/>
      <c r="F47" s="341"/>
      <c r="G47" s="341"/>
      <c r="H47" s="341"/>
      <c r="I47" s="341"/>
      <c r="J47" s="341"/>
      <c r="K47" s="341"/>
      <c r="L47" s="341"/>
      <c r="M47" s="341"/>
    </row>
    <row r="48" spans="1:13" ht="42" customHeight="1">
      <c r="A48" s="47" t="s">
        <v>22</v>
      </c>
      <c r="B48" s="510" t="s">
        <v>435</v>
      </c>
      <c r="C48" s="510"/>
      <c r="D48" s="510"/>
      <c r="E48" s="510"/>
      <c r="F48" s="510"/>
      <c r="G48" s="510"/>
      <c r="H48" s="510"/>
      <c r="I48" s="510"/>
      <c r="J48" s="510"/>
      <c r="K48" s="510"/>
      <c r="L48" s="510"/>
      <c r="M48" s="510"/>
    </row>
    <row r="49" spans="1:13" ht="39" customHeight="1">
      <c r="A49" s="47" t="s">
        <v>28</v>
      </c>
      <c r="B49" s="510" t="s">
        <v>439</v>
      </c>
      <c r="C49" s="510"/>
      <c r="D49" s="510"/>
      <c r="E49" s="510"/>
      <c r="F49" s="510"/>
      <c r="G49" s="510"/>
      <c r="H49" s="510"/>
      <c r="I49" s="510"/>
      <c r="J49" s="510"/>
      <c r="K49" s="510"/>
      <c r="L49" s="510"/>
      <c r="M49" s="510"/>
    </row>
    <row r="50" spans="1:13" ht="27" customHeight="1">
      <c r="A50" s="47" t="s">
        <v>38</v>
      </c>
      <c r="B50" s="510" t="s">
        <v>434</v>
      </c>
      <c r="C50" s="510"/>
      <c r="D50" s="510"/>
      <c r="E50" s="510"/>
      <c r="F50" s="510"/>
      <c r="G50" s="510"/>
      <c r="H50" s="510"/>
      <c r="I50" s="510"/>
      <c r="J50" s="510"/>
      <c r="K50" s="510"/>
      <c r="L50" s="510"/>
      <c r="M50" s="510"/>
    </row>
    <row r="51" spans="1:13">
      <c r="A51" s="341"/>
      <c r="B51" s="341"/>
      <c r="C51" s="341"/>
      <c r="D51" s="341"/>
      <c r="E51" s="341"/>
      <c r="F51" s="341"/>
      <c r="G51" s="341"/>
      <c r="H51" s="341"/>
      <c r="I51" s="341"/>
      <c r="J51" s="341"/>
      <c r="K51" s="341"/>
      <c r="L51" s="341"/>
      <c r="M51" s="341"/>
    </row>
    <row r="52" spans="1:13">
      <c r="A52" s="341"/>
      <c r="B52" s="341" t="s">
        <v>424</v>
      </c>
      <c r="C52" s="341"/>
      <c r="D52" s="341"/>
      <c r="E52" s="341"/>
      <c r="F52" s="341"/>
      <c r="G52" s="341"/>
      <c r="H52" s="341"/>
      <c r="I52" s="341"/>
      <c r="J52" s="341"/>
      <c r="K52" s="341"/>
      <c r="L52" s="341"/>
      <c r="M52" s="341"/>
    </row>
  </sheetData>
  <mergeCells count="3">
    <mergeCell ref="B48:M48"/>
    <mergeCell ref="B49:M49"/>
    <mergeCell ref="B50:M50"/>
  </mergeCells>
  <printOptions horizontalCentered="1"/>
  <pageMargins left="0.5" right="0.5" top="0.75" bottom="0.75" header="0.33" footer="0.33"/>
  <pageSetup scale="96" orientation="portrait" blackAndWhite="1" r:id="rId1"/>
  <headerFooter scaleWithDoc="0">
    <oddHeader>&amp;R&amp;"Arial,Regular"&amp;10Exhibit 6.3</oddHeader>
  </headerFooter>
  <ignoredErrors>
    <ignoredError sqref="D4:L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Q44"/>
  <sheetViews>
    <sheetView zoomScaleNormal="100" zoomScaleSheetLayoutView="85" workbookViewId="0"/>
  </sheetViews>
  <sheetFormatPr defaultColWidth="9.1796875" defaultRowHeight="12.5"/>
  <cols>
    <col min="1" max="1" width="9.1796875" style="56"/>
    <col min="2" max="2" width="11.1796875" style="56" customWidth="1"/>
    <col min="3" max="3" width="3.81640625" style="56" customWidth="1"/>
    <col min="4" max="4" width="11.1796875" style="56" customWidth="1"/>
    <col min="5" max="5" width="3.81640625" style="56" customWidth="1"/>
    <col min="6" max="6" width="11.1796875" style="56" customWidth="1"/>
    <col min="7" max="7" width="3.81640625" style="56" customWidth="1"/>
    <col min="8" max="8" width="11.1796875" style="56" customWidth="1"/>
    <col min="9" max="9" width="3.81640625" style="56" customWidth="1"/>
    <col min="10" max="10" width="11.1796875" style="56" customWidth="1"/>
    <col min="11" max="11" width="4" style="56" customWidth="1"/>
    <col min="12" max="12" width="11.1796875" style="56" customWidth="1"/>
    <col min="13" max="13" width="3.81640625" style="56" customWidth="1"/>
    <col min="14" max="14" width="11.1796875" style="56" customWidth="1"/>
    <col min="15" max="15" width="3.81640625" style="56" customWidth="1"/>
    <col min="16" max="16" width="11.1796875" style="56" customWidth="1"/>
    <col min="17" max="17" width="3.81640625" style="56" customWidth="1"/>
    <col min="18" max="16384" width="9.1796875" style="56"/>
  </cols>
  <sheetData>
    <row r="1" spans="1:17" ht="13">
      <c r="A1" s="276" t="s">
        <v>197</v>
      </c>
      <c r="B1" s="277"/>
      <c r="C1" s="277"/>
      <c r="D1" s="277"/>
      <c r="E1" s="277"/>
      <c r="F1" s="277"/>
      <c r="G1" s="277"/>
      <c r="H1" s="277"/>
      <c r="I1" s="277"/>
      <c r="J1" s="277"/>
      <c r="K1" s="277"/>
      <c r="L1" s="277"/>
      <c r="M1" s="277"/>
      <c r="N1" s="277"/>
      <c r="O1" s="277"/>
      <c r="P1" s="277"/>
      <c r="Q1" s="277"/>
    </row>
    <row r="2" spans="1:17" ht="13">
      <c r="A2" s="276" t="s">
        <v>200</v>
      </c>
      <c r="B2" s="277"/>
      <c r="C2" s="277"/>
      <c r="D2" s="277"/>
      <c r="E2" s="277"/>
      <c r="F2" s="277"/>
      <c r="G2" s="277"/>
      <c r="H2" s="277"/>
      <c r="I2" s="277"/>
      <c r="J2" s="277"/>
      <c r="K2" s="277"/>
      <c r="L2" s="277"/>
      <c r="M2" s="277"/>
      <c r="N2" s="277"/>
      <c r="O2" s="277"/>
      <c r="P2" s="277"/>
      <c r="Q2" s="277"/>
    </row>
    <row r="3" spans="1:17" ht="13">
      <c r="A3" s="276" t="s">
        <v>550</v>
      </c>
      <c r="B3" s="277"/>
      <c r="C3" s="277"/>
      <c r="D3" s="277"/>
      <c r="E3" s="277"/>
      <c r="F3" s="277"/>
      <c r="G3" s="277"/>
      <c r="H3" s="277"/>
      <c r="I3" s="277"/>
      <c r="J3" s="277"/>
      <c r="K3" s="277"/>
      <c r="L3" s="277"/>
      <c r="M3" s="277"/>
      <c r="N3" s="277"/>
      <c r="O3" s="277"/>
      <c r="P3" s="277"/>
      <c r="Q3" s="277"/>
    </row>
    <row r="4" spans="1:17">
      <c r="A4" s="51"/>
      <c r="B4" s="51"/>
      <c r="C4" s="51"/>
      <c r="D4" s="51"/>
      <c r="E4" s="51"/>
      <c r="F4" s="51"/>
      <c r="G4" s="51"/>
      <c r="H4" s="51"/>
      <c r="I4" s="51"/>
      <c r="J4" s="51"/>
      <c r="K4" s="51"/>
      <c r="L4" s="51"/>
      <c r="M4" s="51"/>
      <c r="N4" s="51"/>
      <c r="O4" s="51"/>
      <c r="P4" s="51"/>
      <c r="Q4" s="51"/>
    </row>
    <row r="5" spans="1:17">
      <c r="A5" s="51"/>
      <c r="B5" s="51"/>
      <c r="C5" s="51"/>
      <c r="D5" s="51"/>
      <c r="E5" s="51"/>
      <c r="F5" s="51"/>
      <c r="G5" s="51"/>
      <c r="H5" s="51"/>
      <c r="I5" s="51"/>
      <c r="J5" s="531" t="s">
        <v>201</v>
      </c>
      <c r="K5" s="531"/>
      <c r="L5" s="531"/>
      <c r="M5" s="531"/>
      <c r="N5" s="531"/>
      <c r="O5" s="531"/>
      <c r="P5" s="531"/>
      <c r="Q5" s="51"/>
    </row>
    <row r="6" spans="1:17">
      <c r="A6" s="51"/>
      <c r="B6" s="51"/>
      <c r="C6" s="51"/>
      <c r="D6" s="51"/>
      <c r="E6" s="51"/>
      <c r="F6" s="51"/>
      <c r="G6" s="51"/>
      <c r="H6" s="51"/>
      <c r="I6" s="51"/>
      <c r="J6" s="531" t="s">
        <v>202</v>
      </c>
      <c r="K6" s="531"/>
      <c r="L6" s="531"/>
      <c r="M6" s="531"/>
      <c r="N6" s="531"/>
      <c r="O6" s="531"/>
      <c r="P6" s="531"/>
      <c r="Q6" s="51"/>
    </row>
    <row r="7" spans="1:17">
      <c r="A7" s="51"/>
      <c r="B7" s="530" t="s">
        <v>203</v>
      </c>
      <c r="C7" s="530"/>
      <c r="D7" s="530"/>
      <c r="E7" s="530"/>
      <c r="F7" s="530"/>
      <c r="G7" s="530"/>
      <c r="H7" s="530"/>
      <c r="I7" s="51"/>
      <c r="J7" s="530" t="s">
        <v>204</v>
      </c>
      <c r="K7" s="530"/>
      <c r="L7" s="530"/>
      <c r="M7" s="530"/>
      <c r="N7" s="530"/>
      <c r="O7" s="530"/>
      <c r="P7" s="530"/>
      <c r="Q7" s="51"/>
    </row>
    <row r="8" spans="1:17">
      <c r="A8" s="278" t="s">
        <v>45</v>
      </c>
      <c r="B8" s="279" t="s">
        <v>46</v>
      </c>
      <c r="C8" s="279"/>
      <c r="D8" s="279" t="s">
        <v>47</v>
      </c>
      <c r="E8" s="279"/>
      <c r="F8" s="279" t="s">
        <v>48</v>
      </c>
      <c r="G8" s="279"/>
      <c r="H8" s="279" t="s">
        <v>50</v>
      </c>
      <c r="I8" s="345"/>
      <c r="J8" s="279" t="s">
        <v>51</v>
      </c>
      <c r="K8" s="279"/>
      <c r="L8" s="279" t="s">
        <v>130</v>
      </c>
      <c r="M8" s="279"/>
      <c r="N8" s="279" t="s">
        <v>205</v>
      </c>
      <c r="O8" s="279"/>
      <c r="P8" s="279" t="s">
        <v>206</v>
      </c>
      <c r="Q8" s="239"/>
    </row>
    <row r="9" spans="1:17">
      <c r="A9" s="345"/>
      <c r="B9" s="345" t="s">
        <v>191</v>
      </c>
      <c r="C9" s="345"/>
      <c r="D9" s="345"/>
      <c r="E9" s="345"/>
      <c r="F9" s="345" t="s">
        <v>55</v>
      </c>
      <c r="G9" s="345"/>
      <c r="H9" s="345"/>
      <c r="I9" s="345"/>
      <c r="J9" s="345" t="s">
        <v>191</v>
      </c>
      <c r="K9" s="345"/>
      <c r="L9" s="345"/>
      <c r="M9" s="345"/>
      <c r="N9" s="345" t="s">
        <v>55</v>
      </c>
      <c r="O9" s="345"/>
      <c r="P9" s="345"/>
      <c r="Q9" s="239"/>
    </row>
    <row r="10" spans="1:17">
      <c r="A10" s="345" t="s">
        <v>54</v>
      </c>
      <c r="B10" s="345" t="s">
        <v>55</v>
      </c>
      <c r="C10" s="345"/>
      <c r="D10" s="345" t="s">
        <v>63</v>
      </c>
      <c r="E10" s="345"/>
      <c r="F10" s="345" t="s">
        <v>207</v>
      </c>
      <c r="G10" s="345"/>
      <c r="H10" s="345" t="s">
        <v>63</v>
      </c>
      <c r="I10" s="345"/>
      <c r="J10" s="345" t="s">
        <v>55</v>
      </c>
      <c r="K10" s="345"/>
      <c r="L10" s="345" t="s">
        <v>63</v>
      </c>
      <c r="M10" s="345"/>
      <c r="N10" s="345" t="s">
        <v>207</v>
      </c>
      <c r="O10" s="345"/>
      <c r="P10" s="345" t="s">
        <v>63</v>
      </c>
      <c r="Q10" s="239"/>
    </row>
    <row r="11" spans="1:17">
      <c r="A11" s="280" t="s">
        <v>8</v>
      </c>
      <c r="B11" s="280" t="s">
        <v>198</v>
      </c>
      <c r="C11" s="280"/>
      <c r="D11" s="280" t="s">
        <v>194</v>
      </c>
      <c r="E11" s="280"/>
      <c r="F11" s="280" t="s">
        <v>208</v>
      </c>
      <c r="G11" s="280"/>
      <c r="H11" s="280" t="s">
        <v>194</v>
      </c>
      <c r="I11" s="345"/>
      <c r="J11" s="280" t="s">
        <v>198</v>
      </c>
      <c r="K11" s="280"/>
      <c r="L11" s="280" t="s">
        <v>194</v>
      </c>
      <c r="M11" s="280"/>
      <c r="N11" s="280" t="s">
        <v>208</v>
      </c>
      <c r="O11" s="280"/>
      <c r="P11" s="280" t="s">
        <v>194</v>
      </c>
      <c r="Q11" s="239"/>
    </row>
    <row r="12" spans="1:17">
      <c r="A12" s="345"/>
      <c r="B12" s="51"/>
      <c r="C12" s="51"/>
      <c r="D12" s="51"/>
      <c r="E12" s="51"/>
      <c r="F12" s="51"/>
      <c r="G12" s="51"/>
      <c r="H12" s="51"/>
      <c r="I12" s="51"/>
      <c r="J12" s="51"/>
      <c r="K12" s="51"/>
      <c r="L12" s="51"/>
      <c r="M12" s="51"/>
      <c r="N12" s="51"/>
      <c r="O12" s="51"/>
      <c r="P12" s="51"/>
      <c r="Q12" s="51"/>
    </row>
    <row r="13" spans="1:17">
      <c r="A13" s="345">
        <v>2005</v>
      </c>
      <c r="B13" s="483">
        <f>'Exhibit 6.3'!D25</f>
        <v>28244.508715407777</v>
      </c>
      <c r="C13" s="161"/>
      <c r="D13" s="281" t="s">
        <v>32</v>
      </c>
      <c r="E13" s="52"/>
      <c r="F13" s="161">
        <f>INDEX('Exhibit 6.3'!$H$10:$H$42,MATCH($A13,'Exhibit 6.3'!$B$10:$B$42,0))*$B13</f>
        <v>23891.010995771288</v>
      </c>
      <c r="G13" s="52"/>
      <c r="H13" s="281" t="s">
        <v>32</v>
      </c>
      <c r="I13" s="51"/>
      <c r="J13" s="485">
        <v>26802.028496070208</v>
      </c>
      <c r="K13" s="161"/>
      <c r="L13" s="281" t="s">
        <v>32</v>
      </c>
      <c r="M13" s="52"/>
      <c r="N13" s="161">
        <f>INDEX('Exhibit 6.3'!$H$10:$H$42,MATCH($A13,'Exhibit 6.3'!$B$10:$B$42,0))*$J13</f>
        <v>22670.869016010925</v>
      </c>
      <c r="O13" s="52"/>
      <c r="P13" s="281" t="s">
        <v>32</v>
      </c>
      <c r="Q13" s="51"/>
    </row>
    <row r="14" spans="1:17">
      <c r="A14" s="345">
        <f>A13+1</f>
        <v>2006</v>
      </c>
      <c r="B14" s="483">
        <f>'Exhibit 6.3'!D26</f>
        <v>30726.266221124239</v>
      </c>
      <c r="C14" s="161"/>
      <c r="D14" s="52">
        <f t="shared" ref="D14:D26" si="0">B14/B13-1</f>
        <v>8.7866902934042868E-2</v>
      </c>
      <c r="E14" s="52"/>
      <c r="F14" s="161">
        <f>INDEX('Exhibit 6.3'!$H$10:$H$42,MATCH($A14,'Exhibit 6.3'!$B$10:$B$42,0))*$B14</f>
        <v>25886.616016020751</v>
      </c>
      <c r="G14" s="52"/>
      <c r="H14" s="52">
        <f t="shared" ref="H14:H23" si="1">F14/F13-1</f>
        <v>8.3529534208606204E-2</v>
      </c>
      <c r="I14" s="51"/>
      <c r="J14" s="485">
        <v>28850.123524660703</v>
      </c>
      <c r="K14" s="161"/>
      <c r="L14" s="52">
        <f t="shared" ref="L14:L23" si="2">J14/J13-1</f>
        <v>7.6415672376842325E-2</v>
      </c>
      <c r="M14" s="52"/>
      <c r="N14" s="161">
        <f>INDEX('Exhibit 6.3'!$H$10:$H$42,MATCH($A14,'Exhibit 6.3'!$B$10:$B$42,0))*$J14</f>
        <v>24305.981869811876</v>
      </c>
      <c r="O14" s="52"/>
      <c r="P14" s="52">
        <f t="shared" ref="P14:P23" si="3">N14/N13-1</f>
        <v>7.2123960164305112E-2</v>
      </c>
      <c r="Q14" s="51"/>
    </row>
    <row r="15" spans="1:17">
      <c r="A15" s="345">
        <f t="shared" ref="A15:A30" si="4">A14+1</f>
        <v>2007</v>
      </c>
      <c r="B15" s="483">
        <f>'Exhibit 6.3'!D27</f>
        <v>33996.610622745051</v>
      </c>
      <c r="C15" s="161"/>
      <c r="D15" s="52">
        <f t="shared" si="0"/>
        <v>0.10643481307118452</v>
      </c>
      <c r="E15" s="52"/>
      <c r="F15" s="161">
        <f>INDEX('Exhibit 6.3'!$H$10:$H$42,MATCH($A15,'Exhibit 6.3'!$B$10:$B$42,0))*$B15</f>
        <v>28107.308362297281</v>
      </c>
      <c r="G15" s="52"/>
      <c r="H15" s="52">
        <f t="shared" si="1"/>
        <v>8.5785347335556983E-2</v>
      </c>
      <c r="I15" s="51"/>
      <c r="J15" s="485">
        <v>31784.94791832647</v>
      </c>
      <c r="K15" s="161"/>
      <c r="L15" s="52">
        <f t="shared" si="2"/>
        <v>0.10172657982407318</v>
      </c>
      <c r="M15" s="52"/>
      <c r="N15" s="161">
        <f>INDEX('Exhibit 6.3'!$H$10:$H$42,MATCH($A15,'Exhibit 6.3'!$B$10:$B$42,0))*$J15</f>
        <v>26278.776503156732</v>
      </c>
      <c r="O15" s="52"/>
      <c r="P15" s="52">
        <f t="shared" si="3"/>
        <v>8.1164984155405628E-2</v>
      </c>
      <c r="Q15" s="51"/>
    </row>
    <row r="16" spans="1:17">
      <c r="A16" s="345">
        <f t="shared" si="4"/>
        <v>2008</v>
      </c>
      <c r="B16" s="483">
        <f>'Exhibit 6.3'!D28</f>
        <v>36477.768255653878</v>
      </c>
      <c r="C16" s="161"/>
      <c r="D16" s="52">
        <f t="shared" si="0"/>
        <v>7.298249994512207E-2</v>
      </c>
      <c r="E16" s="52"/>
      <c r="F16" s="161">
        <f>INDEX('Exhibit 6.3'!$H$10:$H$42,MATCH($A16,'Exhibit 6.3'!$B$10:$B$42,0))*$B16</f>
        <v>30038.376334462984</v>
      </c>
      <c r="G16" s="52"/>
      <c r="H16" s="52">
        <f t="shared" si="1"/>
        <v>6.8703411485534049E-2</v>
      </c>
      <c r="I16" s="51"/>
      <c r="J16" s="485">
        <v>33339.523486537146</v>
      </c>
      <c r="K16" s="161"/>
      <c r="L16" s="52">
        <f t="shared" si="2"/>
        <v>4.8909174625840546E-2</v>
      </c>
      <c r="M16" s="52"/>
      <c r="N16" s="161">
        <f>INDEX('Exhibit 6.3'!$H$10:$H$42,MATCH($A16,'Exhibit 6.3'!$B$10:$B$42,0))*$J16</f>
        <v>27454.123461762167</v>
      </c>
      <c r="O16" s="52"/>
      <c r="P16" s="52">
        <f t="shared" si="3"/>
        <v>4.472609135605099E-2</v>
      </c>
      <c r="Q16" s="51"/>
    </row>
    <row r="17" spans="1:17">
      <c r="A17" s="345">
        <f t="shared" si="4"/>
        <v>2009</v>
      </c>
      <c r="B17" s="483">
        <f>'Exhibit 6.3'!D29</f>
        <v>38305.248013377714</v>
      </c>
      <c r="C17" s="161"/>
      <c r="D17" s="52">
        <f t="shared" si="0"/>
        <v>5.0098452978701191E-2</v>
      </c>
      <c r="E17" s="52"/>
      <c r="F17" s="161">
        <f>INDEX('Exhibit 6.3'!$H$10:$H$42,MATCH($A17,'Exhibit 6.3'!$B$10:$B$42,0))*$B17</f>
        <v>31417.582190051406</v>
      </c>
      <c r="G17" s="52"/>
      <c r="H17" s="52">
        <f t="shared" si="1"/>
        <v>4.5914793803487397E-2</v>
      </c>
      <c r="I17" s="51"/>
      <c r="J17" s="485">
        <v>35162.830263740652</v>
      </c>
      <c r="K17" s="161"/>
      <c r="L17" s="52">
        <f t="shared" si="2"/>
        <v>5.4689047308662753E-2</v>
      </c>
      <c r="M17" s="52"/>
      <c r="N17" s="161">
        <f>INDEX('Exhibit 6.3'!$H$10:$H$42,MATCH($A17,'Exhibit 6.3'!$B$10:$B$42,0))*$J17</f>
        <v>28840.202508546161</v>
      </c>
      <c r="O17" s="52"/>
      <c r="P17" s="52">
        <f t="shared" si="3"/>
        <v>5.048709891301062E-2</v>
      </c>
      <c r="Q17" s="51"/>
    </row>
    <row r="18" spans="1:17">
      <c r="A18" s="345">
        <f t="shared" si="4"/>
        <v>2010</v>
      </c>
      <c r="B18" s="483">
        <f>'Exhibit 6.3'!D30</f>
        <v>38181.85059021187</v>
      </c>
      <c r="C18" s="161"/>
      <c r="D18" s="52">
        <f t="shared" si="0"/>
        <v>-3.2214234227839755E-3</v>
      </c>
      <c r="E18" s="52"/>
      <c r="F18" s="161">
        <f>INDEX('Exhibit 6.3'!$H$10:$H$42,MATCH($A18,'Exhibit 6.3'!$B$10:$B$42,0))*$B18</f>
        <v>31222.704740675108</v>
      </c>
      <c r="G18" s="52"/>
      <c r="H18" s="52">
        <f t="shared" si="1"/>
        <v>-6.2028149778504682E-3</v>
      </c>
      <c r="I18" s="51"/>
      <c r="J18" s="485">
        <v>35014.5413573603</v>
      </c>
      <c r="K18" s="282"/>
      <c r="L18" s="283">
        <f t="shared" si="2"/>
        <v>-4.217206216567404E-3</v>
      </c>
      <c r="M18" s="283"/>
      <c r="N18" s="161">
        <f>INDEX('Exhibit 6.3'!$H$10:$H$42,MATCH($A18,'Exhibit 6.3'!$B$10:$B$42,0))*$J18</f>
        <v>28632.67938907284</v>
      </c>
      <c r="O18" s="283"/>
      <c r="P18" s="52">
        <f t="shared" si="3"/>
        <v>-7.1956193584918893E-3</v>
      </c>
      <c r="Q18" s="51"/>
    </row>
    <row r="19" spans="1:17">
      <c r="A19" s="345">
        <f t="shared" si="4"/>
        <v>2011</v>
      </c>
      <c r="B19" s="484">
        <v>37572.9558860287</v>
      </c>
      <c r="C19" s="161"/>
      <c r="D19" s="52">
        <f t="shared" si="0"/>
        <v>-1.5947228716547968E-2</v>
      </c>
      <c r="E19" s="52"/>
      <c r="F19" s="161">
        <f>INDEX('Exhibit 6.3'!$H$10:$H$42,MATCH($A19,'Exhibit 6.3'!$B$10:$B$42,0))*$B19</f>
        <v>31580.299438824066</v>
      </c>
      <c r="G19" s="52"/>
      <c r="H19" s="52">
        <f t="shared" si="1"/>
        <v>1.1453033973802595E-2</v>
      </c>
      <c r="I19" s="51"/>
      <c r="J19" s="161">
        <f>'Exhibit 6.3'!D31</f>
        <v>34340.641918443973</v>
      </c>
      <c r="K19" s="161"/>
      <c r="L19" s="52">
        <f t="shared" si="2"/>
        <v>-1.9246273485020837E-2</v>
      </c>
      <c r="M19" s="52"/>
      <c r="N19" s="161">
        <f>INDEX('Exhibit 6.3'!$H$10:$H$42,MATCH($A19,'Exhibit 6.3'!$B$10:$B$42,0))*$J19</f>
        <v>28863.519761274765</v>
      </c>
      <c r="O19" s="52"/>
      <c r="P19" s="52">
        <f t="shared" si="3"/>
        <v>8.0621296060061631E-3</v>
      </c>
      <c r="Q19" s="51"/>
    </row>
    <row r="20" spans="1:17">
      <c r="A20" s="345">
        <f t="shared" si="4"/>
        <v>2012</v>
      </c>
      <c r="B20" s="484">
        <v>34976.0589604255</v>
      </c>
      <c r="C20" s="161"/>
      <c r="D20" s="52">
        <f t="shared" si="0"/>
        <v>-6.9116119942238652E-2</v>
      </c>
      <c r="E20" s="52"/>
      <c r="F20" s="161">
        <f>INDEX('Exhibit 6.3'!$H$10:$H$42,MATCH($A20,'Exhibit 6.3'!$B$10:$B$42,0))*$B20</f>
        <v>31044.633669711362</v>
      </c>
      <c r="G20" s="52"/>
      <c r="H20" s="52">
        <f t="shared" si="1"/>
        <v>-1.6962023116670277E-2</v>
      </c>
      <c r="I20" s="51"/>
      <c r="J20" s="161">
        <f>'Exhibit 6.3'!D32</f>
        <v>32057.792775431808</v>
      </c>
      <c r="K20" s="161"/>
      <c r="L20" s="52">
        <f t="shared" si="2"/>
        <v>-6.6476600770414618E-2</v>
      </c>
      <c r="M20" s="52"/>
      <c r="N20" s="161">
        <f>INDEX('Exhibit 6.3'!$H$10:$H$42,MATCH($A20,'Exhibit 6.3'!$B$10:$B$42,0))*$J20</f>
        <v>28454.390304489945</v>
      </c>
      <c r="O20" s="52"/>
      <c r="P20" s="52">
        <f t="shared" si="3"/>
        <v>-1.4174621119276476E-2</v>
      </c>
      <c r="Q20" s="51"/>
    </row>
    <row r="21" spans="1:17">
      <c r="A21" s="345">
        <f t="shared" si="4"/>
        <v>2013</v>
      </c>
      <c r="B21" s="484">
        <v>32298.953024460847</v>
      </c>
      <c r="C21" s="161"/>
      <c r="D21" s="52">
        <f t="shared" si="0"/>
        <v>-7.6541097411624626E-2</v>
      </c>
      <c r="E21" s="52"/>
      <c r="F21" s="161">
        <f>INDEX('Exhibit 6.3'!$H$10:$H$42,MATCH($A21,'Exhibit 6.3'!$B$10:$B$42,0))*$B21</f>
        <v>31232.064925140057</v>
      </c>
      <c r="G21" s="52"/>
      <c r="H21" s="52">
        <f t="shared" si="1"/>
        <v>6.0374767962414477E-3</v>
      </c>
      <c r="I21" s="51"/>
      <c r="J21" s="161">
        <f>'Exhibit 6.3'!D33</f>
        <v>29549.569782787687</v>
      </c>
      <c r="K21" s="161"/>
      <c r="L21" s="52">
        <f t="shared" si="2"/>
        <v>-7.8240663985024939E-2</v>
      </c>
      <c r="M21" s="52"/>
      <c r="N21" s="161">
        <f>INDEX('Exhibit 6.3'!$H$10:$H$42,MATCH($A21,'Exhibit 6.3'!$B$10:$B$42,0))*$J21</f>
        <v>28573.498381419664</v>
      </c>
      <c r="O21" s="52"/>
      <c r="P21" s="52">
        <f t="shared" si="3"/>
        <v>4.1859296809787505E-3</v>
      </c>
      <c r="Q21" s="51"/>
    </row>
    <row r="22" spans="1:17">
      <c r="A22" s="345">
        <f t="shared" si="4"/>
        <v>2014</v>
      </c>
      <c r="B22" s="484">
        <v>31448.394118394728</v>
      </c>
      <c r="C22" s="161"/>
      <c r="D22" s="52">
        <f t="shared" si="0"/>
        <v>-2.6333946658331886E-2</v>
      </c>
      <c r="E22" s="52"/>
      <c r="F22" s="161">
        <f>INDEX('Exhibit 6.3'!$H$10:$H$42,MATCH($A22,'Exhibit 6.3'!$B$10:$B$42,0))*$B22</f>
        <v>32357.145631804549</v>
      </c>
      <c r="G22" s="52"/>
      <c r="H22" s="52">
        <f t="shared" si="1"/>
        <v>3.6023257167311584E-2</v>
      </c>
      <c r="I22" s="51"/>
      <c r="J22" s="161">
        <f>'Exhibit 6.3'!D34</f>
        <v>28824.504507750873</v>
      </c>
      <c r="K22" s="161"/>
      <c r="L22" s="52">
        <f t="shared" si="2"/>
        <v>-2.4537253177173368E-2</v>
      </c>
      <c r="M22" s="52"/>
      <c r="N22" s="161">
        <f>INDEX('Exhibit 6.3'!$H$10:$H$42,MATCH($A22,'Exhibit 6.3'!$B$10:$B$42,0))*$J22</f>
        <v>29657.434545325836</v>
      </c>
      <c r="O22" s="52"/>
      <c r="P22" s="52">
        <f t="shared" si="3"/>
        <v>3.7935017596970821E-2</v>
      </c>
      <c r="Q22" s="51"/>
    </row>
    <row r="23" spans="1:17">
      <c r="A23" s="345">
        <f t="shared" si="4"/>
        <v>2015</v>
      </c>
      <c r="B23" s="484">
        <v>30526.111561230016</v>
      </c>
      <c r="C23" s="161"/>
      <c r="D23" s="52">
        <f t="shared" si="0"/>
        <v>-2.9326856999202122E-2</v>
      </c>
      <c r="E23" s="52"/>
      <c r="F23" s="161">
        <f>INDEX('Exhibit 6.3'!$H$10:$H$42,MATCH($A23,'Exhibit 6.3'!$B$10:$B$42,0))*$B23</f>
        <v>32149.252519533507</v>
      </c>
      <c r="G23" s="52"/>
      <c r="H23" s="52">
        <f t="shared" si="1"/>
        <v>-6.4249521461713366E-3</v>
      </c>
      <c r="I23" s="51"/>
      <c r="J23" s="161">
        <f>'Exhibit 6.3'!D35</f>
        <v>28095.04222835337</v>
      </c>
      <c r="K23" s="161"/>
      <c r="L23" s="52">
        <f t="shared" si="2"/>
        <v>-2.5307018866581044E-2</v>
      </c>
      <c r="M23" s="52"/>
      <c r="N23" s="161">
        <f>INDEX('Exhibit 6.3'!$H$10:$H$42,MATCH($A23,'Exhibit 6.3'!$B$10:$B$42,0))*$J23</f>
        <v>29588.917846105618</v>
      </c>
      <c r="O23" s="52"/>
      <c r="P23" s="52">
        <f t="shared" si="3"/>
        <v>-2.3102706040032395E-3</v>
      </c>
      <c r="Q23" s="51"/>
    </row>
    <row r="24" spans="1:17">
      <c r="A24" s="345">
        <f t="shared" si="4"/>
        <v>2016</v>
      </c>
      <c r="B24" s="484">
        <v>29629.043788119681</v>
      </c>
      <c r="C24" s="161"/>
      <c r="D24" s="52">
        <f t="shared" si="0"/>
        <v>-2.9386899517515497E-2</v>
      </c>
      <c r="E24" s="52"/>
      <c r="F24" s="161">
        <f>INDEX('Exhibit 6.3'!$H$10:$H$42,MATCH($A24,'Exhibit 6.3'!$B$10:$B$42,0))*$B24</f>
        <v>31236.346739853398</v>
      </c>
      <c r="G24" s="52"/>
      <c r="H24" s="52">
        <f>F24/F23-1</f>
        <v>-2.8395863298079416E-2</v>
      </c>
      <c r="I24" s="51"/>
      <c r="J24" s="161">
        <f>'Exhibit 6.3'!D36</f>
        <v>27372.503679957495</v>
      </c>
      <c r="K24" s="161"/>
      <c r="L24" s="52">
        <f>J24/J23-1</f>
        <v>-2.5717653047934941E-2</v>
      </c>
      <c r="M24" s="52"/>
      <c r="N24" s="161">
        <f>INDEX('Exhibit 6.3'!$H$10:$H$42,MATCH($A24,'Exhibit 6.3'!$B$10:$B$42,0))*$J24</f>
        <v>28857.394865638576</v>
      </c>
      <c r="O24" s="52"/>
      <c r="P24" s="52">
        <f>N24/N23-1</f>
        <v>-2.4722870375718076E-2</v>
      </c>
      <c r="Q24" s="51"/>
    </row>
    <row r="25" spans="1:17">
      <c r="A25" s="345">
        <f t="shared" si="4"/>
        <v>2017</v>
      </c>
      <c r="B25" s="484">
        <v>29554</v>
      </c>
      <c r="C25" s="161"/>
      <c r="D25" s="52">
        <f t="shared" si="0"/>
        <v>-2.5327779275067241E-3</v>
      </c>
      <c r="E25" s="52"/>
      <c r="F25" s="161">
        <f>INDEX('Exhibit 6.3'!$H$10:$H$42,MATCH($A25,'Exhibit 6.3'!$B$10:$B$42,0))*$B25</f>
        <v>31188.607749690938</v>
      </c>
      <c r="G25" s="52"/>
      <c r="H25" s="52">
        <f t="shared" ref="H25:H26" si="5">F25/F24-1</f>
        <v>-1.5283154128120646E-3</v>
      </c>
      <c r="I25" s="51"/>
      <c r="J25" s="161">
        <f>'Exhibit 6.3'!D37</f>
        <v>27310</v>
      </c>
      <c r="K25" s="161"/>
      <c r="L25" s="52">
        <f>J25/J24-1</f>
        <v>-2.2834476775780432E-3</v>
      </c>
      <c r="M25" s="52"/>
      <c r="N25" s="161">
        <f>INDEX('Exhibit 6.3'!$H$10:$H$42,MATCH($A25,'Exhibit 6.3'!$B$10:$B$42,0))*$J25</f>
        <v>28820.493931246514</v>
      </c>
      <c r="O25" s="52"/>
      <c r="P25" s="52">
        <f t="shared" ref="P25:P26" si="6">N25/N24-1</f>
        <v>-1.2787340840666461E-3</v>
      </c>
      <c r="Q25" s="51"/>
    </row>
    <row r="26" spans="1:17">
      <c r="A26" s="345">
        <f t="shared" si="4"/>
        <v>2018</v>
      </c>
      <c r="B26" s="484">
        <v>31167</v>
      </c>
      <c r="C26" s="161"/>
      <c r="D26" s="52">
        <f t="shared" si="0"/>
        <v>5.4578060499424819E-2</v>
      </c>
      <c r="E26" s="52"/>
      <c r="F26" s="161">
        <f>INDEX('Exhibit 6.3'!$H$10:$H$42,MATCH($A26,'Exhibit 6.3'!$B$10:$B$42,0))*$B26</f>
        <v>32792.378749340882</v>
      </c>
      <c r="G26" s="52"/>
      <c r="H26" s="52">
        <f t="shared" si="5"/>
        <v>5.1421692578304867E-2</v>
      </c>
      <c r="I26" s="51"/>
      <c r="J26" s="161">
        <f>'Exhibit 6.3'!D38</f>
        <v>28806</v>
      </c>
      <c r="K26" s="161"/>
      <c r="L26" s="52">
        <f t="shared" ref="L26" si="7">J26/J25-1</f>
        <v>5.4778469425118992E-2</v>
      </c>
      <c r="M26" s="52"/>
      <c r="N26" s="161">
        <f>INDEX('Exhibit 6.3'!$H$10:$H$42,MATCH($A26,'Exhibit 6.3'!$B$10:$B$42,0))*$J26</f>
        <v>30308.251107052758</v>
      </c>
      <c r="O26" s="52"/>
      <c r="P26" s="52">
        <f t="shared" si="6"/>
        <v>5.1621501677084458E-2</v>
      </c>
      <c r="Q26" s="51"/>
    </row>
    <row r="27" spans="1:17">
      <c r="A27" s="345">
        <f t="shared" si="4"/>
        <v>2019</v>
      </c>
      <c r="B27" s="484">
        <v>31868</v>
      </c>
      <c r="C27" s="161"/>
      <c r="D27" s="52">
        <f t="shared" ref="D27:D28" si="8">B27/B26-1</f>
        <v>2.2491738056277466E-2</v>
      </c>
      <c r="E27" s="52"/>
      <c r="F27" s="161">
        <f>INDEX('Exhibit 6.3'!$H$10:$H$42,MATCH($A27,'Exhibit 6.3'!$B$10:$B$42,0))*$B27</f>
        <v>33164.201527962927</v>
      </c>
      <c r="G27" s="52"/>
      <c r="H27" s="52">
        <f t="shared" ref="H27:H28" si="9">F27/F26-1</f>
        <v>1.1338694928604953E-2</v>
      </c>
      <c r="I27" s="51"/>
      <c r="J27" s="161">
        <f>'Exhibit 6.3'!D39</f>
        <v>29417</v>
      </c>
      <c r="K27" s="161"/>
      <c r="L27" s="52">
        <f t="shared" ref="L27:L28" si="10">J27/J26-1</f>
        <v>2.1210858848850878E-2</v>
      </c>
      <c r="M27" s="52"/>
      <c r="N27" s="161">
        <f>INDEX('Exhibit 6.3'!$H$10:$H$42,MATCH($A27,'Exhibit 6.3'!$B$10:$B$42,0))*$J27</f>
        <v>30613.509361995901</v>
      </c>
      <c r="O27" s="52"/>
      <c r="P27" s="52">
        <f t="shared" ref="P27:P28" si="11">N27/N26-1</f>
        <v>1.0071787179831926E-2</v>
      </c>
      <c r="Q27" s="51"/>
    </row>
    <row r="28" spans="1:17">
      <c r="A28" s="345">
        <f t="shared" si="4"/>
        <v>2020</v>
      </c>
      <c r="B28" s="484">
        <v>33280</v>
      </c>
      <c r="C28" s="161"/>
      <c r="D28" s="52">
        <f t="shared" si="8"/>
        <v>4.4307769549391196E-2</v>
      </c>
      <c r="E28" s="52"/>
      <c r="F28" s="161">
        <f>INDEX('Exhibit 6.3'!$H$10:$H$42,MATCH($A28,'Exhibit 6.3'!$B$10:$B$42,0))*$B28</f>
        <v>34187.959091832352</v>
      </c>
      <c r="G28" s="52"/>
      <c r="H28" s="52">
        <f t="shared" si="9"/>
        <v>3.0869356616538113E-2</v>
      </c>
      <c r="I28" s="51"/>
      <c r="J28" s="161">
        <f>'Exhibit 6.3'!D40</f>
        <v>30735</v>
      </c>
      <c r="K28" s="161"/>
      <c r="L28" s="52">
        <f t="shared" si="10"/>
        <v>4.4804024883570825E-2</v>
      </c>
      <c r="M28" s="52"/>
      <c r="N28" s="161">
        <f>INDEX('Exhibit 6.3'!$H$10:$H$42,MATCH($A28,'Exhibit 6.3'!$B$10:$B$42,0))*$J28</f>
        <v>31573.525321137844</v>
      </c>
      <c r="O28" s="52"/>
      <c r="P28" s="52">
        <f t="shared" si="11"/>
        <v>3.135922601326202E-2</v>
      </c>
      <c r="Q28" s="51"/>
    </row>
    <row r="29" spans="1:17">
      <c r="A29" s="379">
        <f t="shared" si="4"/>
        <v>2021</v>
      </c>
      <c r="B29" s="484">
        <v>32675</v>
      </c>
      <c r="C29" s="161"/>
      <c r="D29" s="52">
        <f t="shared" ref="D29:D30" si="12">B29/B28-1</f>
        <v>-1.8179086538461564E-2</v>
      </c>
      <c r="E29" s="52"/>
      <c r="F29" s="161">
        <f>INDEX('Exhibit 6.3'!$H$10:$H$42,MATCH($A29,'Exhibit 6.3'!$B$10:$B$42,0))*$B29</f>
        <v>33233.585631245987</v>
      </c>
      <c r="G29" s="52"/>
      <c r="H29" s="52">
        <f t="shared" ref="H29:H30" si="13">F29/F28-1</f>
        <v>-2.7915485040297949E-2</v>
      </c>
      <c r="I29" s="51"/>
      <c r="J29" s="161">
        <f>'Exhibit 6.3'!D41</f>
        <v>30022</v>
      </c>
      <c r="K29" s="161"/>
      <c r="L29" s="52">
        <f t="shared" ref="L29:L30" si="14">J29/J28-1</f>
        <v>-2.3198308117781008E-2</v>
      </c>
      <c r="M29" s="52"/>
      <c r="N29" s="161">
        <f>INDEX('Exhibit 6.3'!$H$10:$H$42,MATCH($A29,'Exhibit 6.3'!$B$10:$B$42,0))*$J29</f>
        <v>30535.232067980629</v>
      </c>
      <c r="O29" s="52"/>
      <c r="P29" s="52">
        <f t="shared" ref="P29:P30" si="15">N29/N28-1</f>
        <v>-3.288493263253367E-2</v>
      </c>
      <c r="Q29" s="51"/>
    </row>
    <row r="30" spans="1:17">
      <c r="A30" s="379">
        <f t="shared" si="4"/>
        <v>2022</v>
      </c>
      <c r="B30" s="484">
        <v>32338</v>
      </c>
      <c r="C30" s="161"/>
      <c r="D30" s="52">
        <f t="shared" si="12"/>
        <v>-1.0313695485845487E-2</v>
      </c>
      <c r="E30" s="52"/>
      <c r="F30" s="161">
        <f>INDEX('Exhibit 6.3'!$H$10:$H$42,MATCH($A30,'Exhibit 6.3'!$B$10:$B$42,0))*$B30</f>
        <v>32597.189069999997</v>
      </c>
      <c r="G30" s="52"/>
      <c r="H30" s="52">
        <f t="shared" si="13"/>
        <v>-1.914919949677818E-2</v>
      </c>
      <c r="I30" s="51"/>
      <c r="J30" s="161">
        <f>'Exhibit 6.3'!D42</f>
        <v>29653</v>
      </c>
      <c r="K30" s="161"/>
      <c r="L30" s="52">
        <f t="shared" si="14"/>
        <v>-1.2290986609819421E-2</v>
      </c>
      <c r="M30" s="52"/>
      <c r="N30" s="161">
        <f>INDEX('Exhibit 6.3'!$H$10:$H$42,MATCH($A30,'Exhibit 6.3'!$B$10:$B$42,0))*$J30</f>
        <v>29890.668794999998</v>
      </c>
      <c r="O30" s="52"/>
      <c r="P30" s="52">
        <f t="shared" si="15"/>
        <v>-2.1108838195355473E-2</v>
      </c>
      <c r="Q30" s="51"/>
    </row>
    <row r="31" spans="1:17">
      <c r="A31" s="345"/>
      <c r="B31" s="51"/>
      <c r="C31" s="51"/>
      <c r="D31" s="51"/>
      <c r="E31" s="51"/>
      <c r="F31" s="161"/>
      <c r="G31" s="51"/>
      <c r="H31" s="51"/>
      <c r="I31" s="51"/>
      <c r="J31" s="51"/>
      <c r="K31" s="51"/>
      <c r="L31" s="51"/>
      <c r="M31" s="51"/>
      <c r="N31" s="51"/>
      <c r="O31" s="51"/>
      <c r="P31" s="51"/>
      <c r="Q31" s="51"/>
    </row>
    <row r="32" spans="1:17">
      <c r="A32" s="51" t="s">
        <v>234</v>
      </c>
      <c r="B32" s="51"/>
      <c r="C32" s="51"/>
      <c r="D32" s="51"/>
      <c r="E32" s="51"/>
      <c r="F32" s="51"/>
      <c r="G32" s="51"/>
      <c r="H32" s="51"/>
      <c r="I32" s="51"/>
      <c r="J32" s="51"/>
      <c r="K32" s="51"/>
      <c r="L32" s="51"/>
      <c r="M32" s="51"/>
      <c r="N32" s="51"/>
      <c r="O32" s="51"/>
      <c r="P32" s="51"/>
      <c r="Q32" s="51"/>
    </row>
    <row r="33" spans="1:17">
      <c r="A33" s="397" t="str">
        <f>"Trend Based on 1990 to "&amp;$A$30&amp;":"</f>
        <v>Trend Based on 1990 to 2022:</v>
      </c>
      <c r="B33" s="51"/>
      <c r="C33" s="51"/>
      <c r="D33" s="51"/>
      <c r="E33" s="51"/>
      <c r="F33" s="51"/>
      <c r="G33" s="51"/>
      <c r="H33" s="376">
        <v>4.6329325731778948E-2</v>
      </c>
      <c r="I33" s="51"/>
      <c r="J33" s="51"/>
      <c r="K33" s="51"/>
      <c r="L33" s="51"/>
      <c r="M33" s="51"/>
      <c r="N33" s="51"/>
      <c r="O33" s="51"/>
      <c r="P33" s="284" t="s">
        <v>333</v>
      </c>
      <c r="Q33" s="51"/>
    </row>
    <row r="34" spans="1:17">
      <c r="A34" s="51" t="str">
        <f>"Trend Based on "&amp;$A$13&amp;" to "&amp;$A$30&amp;":"</f>
        <v>Trend Based on 2005 to 2022:</v>
      </c>
      <c r="B34" s="51"/>
      <c r="C34" s="51"/>
      <c r="D34" s="52"/>
      <c r="E34" s="52"/>
      <c r="F34" s="57"/>
      <c r="G34" s="52"/>
      <c r="H34" s="347">
        <f>LOGEST(F$13:F$30)-1</f>
        <v>1.3640258278648787E-2</v>
      </c>
      <c r="I34" s="51"/>
      <c r="J34" s="51"/>
      <c r="K34" s="51"/>
      <c r="L34" s="52"/>
      <c r="M34" s="52"/>
      <c r="N34" s="57"/>
      <c r="O34" s="52"/>
      <c r="P34" s="347">
        <f>LOGEST(N$13:N$30)-1</f>
        <v>1.28295817652746E-2</v>
      </c>
      <c r="Q34" s="51"/>
    </row>
    <row r="35" spans="1:17">
      <c r="A35" s="51" t="str">
        <f>"Trend Based on "&amp;$A$26&amp;" to "&amp;$A$30&amp;":"</f>
        <v>Trend Based on 2018 to 2022:</v>
      </c>
      <c r="B35" s="51"/>
      <c r="C35" s="51"/>
      <c r="D35" s="52"/>
      <c r="E35" s="52"/>
      <c r="F35" s="57"/>
      <c r="G35" s="52"/>
      <c r="H35" s="347">
        <f>LOGEST(F$26:F$30)-1</f>
        <v>-9.8453439972934209E-4</v>
      </c>
      <c r="I35" s="51"/>
      <c r="J35" s="51"/>
      <c r="K35" s="51"/>
      <c r="L35" s="52"/>
      <c r="M35" s="52"/>
      <c r="N35" s="57"/>
      <c r="O35" s="52"/>
      <c r="P35" s="347">
        <f>LOGEST(N$26:N$30)-1</f>
        <v>-3.026162227453999E-3</v>
      </c>
      <c r="Q35" s="51"/>
    </row>
    <row r="36" spans="1:17">
      <c r="A36" s="51"/>
      <c r="B36" s="51"/>
      <c r="C36" s="51"/>
      <c r="D36" s="51"/>
      <c r="E36" s="51"/>
      <c r="F36" s="51"/>
      <c r="G36" s="51"/>
      <c r="H36" s="51"/>
      <c r="I36" s="51"/>
      <c r="J36" s="51"/>
      <c r="K36" s="51"/>
      <c r="L36" s="51"/>
      <c r="M36" s="51"/>
      <c r="N36" s="51"/>
      <c r="O36" s="51"/>
      <c r="P36" s="51"/>
      <c r="Q36" s="51"/>
    </row>
    <row r="37" spans="1:17">
      <c r="A37" s="51"/>
      <c r="B37" s="51"/>
      <c r="C37" s="51"/>
      <c r="D37" s="51"/>
      <c r="E37" s="51"/>
      <c r="F37" s="51"/>
      <c r="G37" s="51"/>
      <c r="H37" s="51"/>
      <c r="I37" s="51" t="s">
        <v>209</v>
      </c>
      <c r="J37" s="51"/>
      <c r="K37" s="51"/>
      <c r="L37" s="51"/>
      <c r="M37" s="51"/>
      <c r="N37" s="57"/>
      <c r="O37" s="51"/>
      <c r="P37" s="376">
        <v>1.4999999999999999E-2</v>
      </c>
      <c r="Q37" s="51"/>
    </row>
    <row r="38" spans="1:17" ht="12.75" customHeight="1">
      <c r="A38" s="51"/>
      <c r="B38" s="51"/>
      <c r="C38" s="51"/>
      <c r="D38" s="51"/>
      <c r="E38" s="51"/>
      <c r="F38" s="51"/>
      <c r="G38" s="51"/>
      <c r="H38" s="51"/>
      <c r="I38" s="51"/>
      <c r="J38" s="51"/>
      <c r="K38" s="51"/>
      <c r="L38" s="51"/>
      <c r="M38" s="51"/>
      <c r="N38" s="51"/>
      <c r="O38" s="51"/>
      <c r="P38" s="51"/>
      <c r="Q38" s="51"/>
    </row>
    <row r="39" spans="1:17" ht="12.75" customHeight="1">
      <c r="A39" s="285" t="s">
        <v>436</v>
      </c>
      <c r="B39" s="286"/>
      <c r="C39" s="286"/>
      <c r="D39" s="286"/>
      <c r="E39" s="286"/>
      <c r="F39" s="286"/>
      <c r="G39" s="286"/>
      <c r="H39" s="286"/>
      <c r="I39" s="286"/>
      <c r="J39" s="286"/>
      <c r="K39" s="286"/>
      <c r="L39" s="286"/>
      <c r="M39" s="286"/>
      <c r="N39" s="286"/>
      <c r="O39" s="286"/>
      <c r="P39" s="286"/>
      <c r="Q39" s="286"/>
    </row>
    <row r="40" spans="1:17" ht="12.75" customHeight="1">
      <c r="A40" s="285" t="s">
        <v>437</v>
      </c>
      <c r="B40" s="286"/>
      <c r="C40" s="286"/>
      <c r="D40" s="286"/>
      <c r="E40" s="286"/>
      <c r="F40" s="286"/>
      <c r="G40" s="286"/>
      <c r="H40" s="286"/>
      <c r="I40" s="286"/>
      <c r="J40" s="286"/>
      <c r="K40" s="286"/>
      <c r="L40" s="286"/>
      <c r="M40" s="286"/>
      <c r="N40" s="286"/>
      <c r="O40" s="286"/>
      <c r="P40" s="286"/>
      <c r="Q40" s="286"/>
    </row>
    <row r="41" spans="1:17" ht="12.75" customHeight="1">
      <c r="A41" s="285" t="s">
        <v>340</v>
      </c>
      <c r="B41" s="286"/>
      <c r="C41" s="286"/>
      <c r="D41" s="286"/>
      <c r="E41" s="286"/>
      <c r="F41" s="286"/>
      <c r="G41" s="286"/>
      <c r="H41" s="286"/>
      <c r="I41" s="286"/>
      <c r="J41" s="286"/>
      <c r="K41" s="286"/>
      <c r="L41" s="286"/>
      <c r="M41" s="286"/>
      <c r="N41" s="286"/>
      <c r="O41" s="286"/>
      <c r="P41" s="286"/>
      <c r="Q41" s="286"/>
    </row>
    <row r="42" spans="1:17" ht="12.75" customHeight="1">
      <c r="A42" s="287" t="s">
        <v>438</v>
      </c>
      <c r="B42" s="287"/>
      <c r="C42" s="287"/>
      <c r="D42" s="287"/>
      <c r="E42" s="287"/>
      <c r="F42" s="287"/>
      <c r="G42" s="287"/>
      <c r="H42" s="287"/>
      <c r="I42" s="287"/>
      <c r="J42" s="287"/>
      <c r="K42" s="287"/>
      <c r="L42" s="287"/>
      <c r="M42" s="287"/>
      <c r="N42" s="287"/>
      <c r="O42" s="287"/>
      <c r="P42" s="287"/>
      <c r="Q42" s="287"/>
    </row>
    <row r="43" spans="1:17">
      <c r="A43" s="51"/>
      <c r="B43" s="51"/>
      <c r="C43" s="51"/>
      <c r="D43" s="51"/>
      <c r="E43" s="51"/>
      <c r="F43" s="51"/>
      <c r="G43" s="51"/>
      <c r="H43" s="51"/>
      <c r="I43" s="51"/>
      <c r="J43" s="51"/>
      <c r="K43" s="51"/>
      <c r="L43" s="51"/>
      <c r="M43" s="51"/>
      <c r="N43" s="51"/>
      <c r="O43" s="51"/>
      <c r="P43" s="51"/>
      <c r="Q43" s="51"/>
    </row>
    <row r="44" spans="1:17">
      <c r="A44" s="321" t="s">
        <v>424</v>
      </c>
      <c r="B44" s="51"/>
      <c r="C44" s="51"/>
      <c r="D44" s="51"/>
      <c r="E44" s="51"/>
      <c r="F44" s="51"/>
      <c r="G44" s="51"/>
      <c r="H44" s="51"/>
      <c r="I44" s="51"/>
      <c r="J44" s="51"/>
      <c r="K44" s="51"/>
      <c r="L44" s="51"/>
      <c r="M44" s="51"/>
      <c r="N44" s="51"/>
      <c r="O44" s="51"/>
      <c r="P44" s="51"/>
      <c r="Q44" s="51"/>
    </row>
  </sheetData>
  <mergeCells count="4">
    <mergeCell ref="B7:H7"/>
    <mergeCell ref="J5:P5"/>
    <mergeCell ref="J6:P6"/>
    <mergeCell ref="J7:P7"/>
  </mergeCells>
  <printOptions horizontalCentered="1"/>
  <pageMargins left="0.5" right="0.5" top="0.75" bottom="0.75" header="0.33" footer="0.33"/>
  <pageSetup scale="73" orientation="portrait" blackAndWhite="1" horizontalDpi="1200" verticalDpi="1200" r:id="rId1"/>
  <headerFooter scaleWithDoc="0">
    <oddHeader>&amp;R&amp;"Arial,Regular"&amp;10Exhibit 6.4</oddHeader>
  </headerFooter>
  <ignoredErrors>
    <ignoredError sqref="A8:P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M54"/>
  <sheetViews>
    <sheetView zoomScaleNormal="100" zoomScaleSheetLayoutView="85" workbookViewId="0"/>
  </sheetViews>
  <sheetFormatPr defaultColWidth="9.1796875" defaultRowHeight="12.5"/>
  <cols>
    <col min="1" max="1" width="9.1796875" style="56"/>
    <col min="2" max="2" width="5.81640625" style="56" customWidth="1"/>
    <col min="3" max="3" width="17.81640625" style="56" customWidth="1"/>
    <col min="4" max="4" width="5.81640625" style="56" customWidth="1"/>
    <col min="5" max="5" width="17.81640625" style="56" customWidth="1"/>
    <col min="6" max="6" width="5.81640625" style="56" customWidth="1"/>
    <col min="7" max="7" width="17.81640625" style="56" customWidth="1"/>
    <col min="8" max="8" width="5.81640625" style="56" customWidth="1"/>
    <col min="9" max="9" width="17.81640625" style="56" customWidth="1"/>
    <col min="10" max="10" width="1.54296875" style="56" customWidth="1"/>
    <col min="11" max="11" width="9.1796875" style="56"/>
    <col min="12" max="12" width="21.54296875" style="56" customWidth="1"/>
    <col min="13" max="13" width="21.1796875" style="56" customWidth="1"/>
    <col min="14" max="16384" width="9.1796875" style="56"/>
  </cols>
  <sheetData>
    <row r="1" spans="1:13" ht="13">
      <c r="A1" s="288" t="s">
        <v>210</v>
      </c>
      <c r="B1" s="193"/>
      <c r="C1" s="193"/>
      <c r="D1" s="193"/>
      <c r="E1" s="193"/>
      <c r="F1" s="193"/>
      <c r="G1" s="193"/>
      <c r="H1" s="193"/>
      <c r="I1" s="193"/>
      <c r="J1" s="289"/>
      <c r="K1" s="57"/>
      <c r="L1" s="57"/>
      <c r="M1" s="57"/>
    </row>
    <row r="2" spans="1:13" ht="13">
      <c r="A2" s="122" t="s">
        <v>464</v>
      </c>
      <c r="B2" s="193"/>
      <c r="C2" s="193"/>
      <c r="D2" s="193"/>
      <c r="E2" s="193"/>
      <c r="F2" s="193"/>
      <c r="G2" s="193"/>
      <c r="H2" s="193"/>
      <c r="I2" s="193"/>
      <c r="J2" s="248"/>
      <c r="K2" s="57"/>
      <c r="L2" s="57"/>
      <c r="M2" s="57"/>
    </row>
    <row r="3" spans="1:13" ht="13">
      <c r="A3" s="122" t="s">
        <v>550</v>
      </c>
      <c r="B3" s="193"/>
      <c r="C3" s="193"/>
      <c r="D3" s="193"/>
      <c r="E3" s="193"/>
      <c r="F3" s="193"/>
      <c r="G3" s="193"/>
      <c r="H3" s="193"/>
      <c r="I3" s="193"/>
      <c r="J3" s="248"/>
      <c r="K3" s="57"/>
      <c r="L3" s="57"/>
      <c r="M3" s="57"/>
    </row>
    <row r="4" spans="1:13">
      <c r="A4" s="31"/>
      <c r="B4" s="31"/>
      <c r="C4" s="31"/>
      <c r="D4" s="31"/>
      <c r="E4" s="31"/>
      <c r="F4" s="31"/>
      <c r="G4" s="31"/>
      <c r="H4" s="31"/>
      <c r="I4" s="31"/>
      <c r="J4" s="31"/>
      <c r="K4" s="57"/>
      <c r="L4" s="57"/>
      <c r="M4" s="57"/>
    </row>
    <row r="5" spans="1:13">
      <c r="A5" s="31"/>
      <c r="B5" s="31"/>
      <c r="C5" s="32" t="s">
        <v>45</v>
      </c>
      <c r="D5" s="32"/>
      <c r="E5" s="32" t="s">
        <v>46</v>
      </c>
      <c r="F5" s="32"/>
      <c r="G5" s="32" t="s">
        <v>47</v>
      </c>
      <c r="H5" s="32"/>
      <c r="I5" s="31" t="s">
        <v>48</v>
      </c>
      <c r="J5" s="32"/>
      <c r="K5" s="57"/>
      <c r="L5" s="57"/>
      <c r="M5" s="57"/>
    </row>
    <row r="6" spans="1:13">
      <c r="A6" s="373" t="s">
        <v>54</v>
      </c>
      <c r="B6" s="148"/>
      <c r="C6" s="31" t="s">
        <v>212</v>
      </c>
      <c r="D6" s="148"/>
      <c r="E6" s="373" t="s">
        <v>213</v>
      </c>
      <c r="F6" s="148"/>
      <c r="G6" s="373" t="s">
        <v>214</v>
      </c>
      <c r="H6" s="148"/>
      <c r="I6" s="31" t="s">
        <v>211</v>
      </c>
      <c r="J6" s="148"/>
      <c r="K6" s="57"/>
      <c r="L6" s="57"/>
      <c r="M6" s="57"/>
    </row>
    <row r="7" spans="1:13">
      <c r="A7" s="33" t="s">
        <v>8</v>
      </c>
      <c r="B7" s="33"/>
      <c r="C7" s="33" t="s">
        <v>334</v>
      </c>
      <c r="D7" s="33"/>
      <c r="E7" s="33" t="s">
        <v>335</v>
      </c>
      <c r="F7" s="33"/>
      <c r="G7" s="33" t="s">
        <v>336</v>
      </c>
      <c r="H7" s="33"/>
      <c r="I7" s="33" t="s">
        <v>215</v>
      </c>
      <c r="J7" s="31"/>
      <c r="K7" s="57"/>
      <c r="L7" s="57"/>
      <c r="M7" s="57"/>
    </row>
    <row r="8" spans="1:13">
      <c r="A8" s="31"/>
      <c r="B8" s="31"/>
      <c r="C8" s="290"/>
      <c r="D8" s="290"/>
      <c r="E8" s="290"/>
      <c r="F8" s="290"/>
      <c r="G8" s="290"/>
      <c r="H8" s="31"/>
      <c r="I8" s="31" t="s">
        <v>216</v>
      </c>
      <c r="J8" s="31"/>
      <c r="K8" s="57"/>
      <c r="L8" s="57"/>
      <c r="M8" s="57"/>
    </row>
    <row r="9" spans="1:13">
      <c r="A9" s="31">
        <v>1987</v>
      </c>
      <c r="B9" s="31"/>
      <c r="C9" s="26">
        <f>+SUMIFS('Exhibit 3.1'!F:F,'Exhibit 3.1'!B:B,$A9)</f>
        <v>0.3473434554753167</v>
      </c>
      <c r="D9" s="290"/>
      <c r="E9" s="26">
        <f>+SUMIFS('Exhibit 4.1'!L:L,'Exhibit 4.1'!B:B,$A9)</f>
        <v>1.7205637983396758</v>
      </c>
      <c r="F9" s="290"/>
      <c r="G9" s="26">
        <f>SUMIFS('Exhibit 5.2'!S:S,'Exhibit 5.2'!A:A,A9)</f>
        <v>1.6361473283383394</v>
      </c>
      <c r="H9" s="31"/>
      <c r="I9" s="26">
        <f t="shared" ref="I9:I38" si="0">C9*E9/G9</f>
        <v>0.36526452400101689</v>
      </c>
      <c r="J9" s="31"/>
      <c r="K9" s="57"/>
      <c r="L9" s="57"/>
      <c r="M9" s="57"/>
    </row>
    <row r="10" spans="1:13">
      <c r="A10" s="31">
        <f>A9+1</f>
        <v>1988</v>
      </c>
      <c r="B10" s="23"/>
      <c r="C10" s="26">
        <f>+SUMIFS('Exhibit 3.1'!F:F,'Exhibit 3.1'!B:B,$A10)</f>
        <v>0.33220355673606144</v>
      </c>
      <c r="D10" s="23"/>
      <c r="E10" s="26">
        <f>+SUMIFS('Exhibit 4.1'!L:L,'Exhibit 4.1'!B:B,$A10)</f>
        <v>1.6951367471326857</v>
      </c>
      <c r="F10" s="23"/>
      <c r="G10" s="26">
        <f>SUMIFS('Exhibit 5.2'!S:S,'Exhibit 5.2'!A:A,A10)</f>
        <v>1.4337531268305852</v>
      </c>
      <c r="H10" s="23"/>
      <c r="I10" s="26">
        <f t="shared" si="0"/>
        <v>0.39276668068812953</v>
      </c>
      <c r="J10" s="23"/>
      <c r="K10" s="57"/>
      <c r="L10" s="57"/>
      <c r="M10" s="57"/>
    </row>
    <row r="11" spans="1:13">
      <c r="A11" s="31">
        <f t="shared" ref="A11:A44" si="1">A10+1</f>
        <v>1989</v>
      </c>
      <c r="B11" s="23"/>
      <c r="C11" s="26">
        <f>+SUMIFS('Exhibit 3.1'!F:F,'Exhibit 3.1'!B:B,$A11)</f>
        <v>0.34506954778191279</v>
      </c>
      <c r="D11" s="23"/>
      <c r="E11" s="26">
        <f>+SUMIFS('Exhibit 4.1'!L:L,'Exhibit 4.1'!B:B,$A11)</f>
        <v>1.6700854651553556</v>
      </c>
      <c r="F11" s="23"/>
      <c r="G11" s="26">
        <f>SUMIFS('Exhibit 5.2'!S:S,'Exhibit 5.2'!A:A,A11)</f>
        <v>1.3790791417401442</v>
      </c>
      <c r="H11" s="23"/>
      <c r="I11" s="26">
        <f t="shared" si="0"/>
        <v>0.41788438297393504</v>
      </c>
      <c r="J11" s="23"/>
      <c r="K11" s="57"/>
      <c r="L11" s="57"/>
      <c r="M11" s="57"/>
    </row>
    <row r="12" spans="1:13">
      <c r="A12" s="31">
        <f t="shared" si="1"/>
        <v>1990</v>
      </c>
      <c r="B12" s="23"/>
      <c r="C12" s="26">
        <f ca="1">+SUMIFS('Exhibit 3.1'!F:F,'Exhibit 3.1'!B:B,$A12)</f>
        <v>0.4002827758718277</v>
      </c>
      <c r="D12" s="23"/>
      <c r="E12" s="26">
        <f>+SUMIFS('Exhibit 4.1'!L:L,'Exhibit 4.1'!B:B,$A12)</f>
        <v>1.3388222663337221</v>
      </c>
      <c r="F12" s="23"/>
      <c r="G12" s="26">
        <f>SUMIFS('Exhibit 5.2'!S:S,'Exhibit 5.2'!A:A,A12)</f>
        <v>1.2820033431798352</v>
      </c>
      <c r="H12" s="23"/>
      <c r="I12" s="26">
        <f t="shared" ca="1" si="0"/>
        <v>0.41802347553776886</v>
      </c>
      <c r="J12" s="23"/>
      <c r="K12" s="57"/>
      <c r="L12" s="57"/>
      <c r="M12" s="57"/>
    </row>
    <row r="13" spans="1:13">
      <c r="A13" s="31">
        <f t="shared" si="1"/>
        <v>1991</v>
      </c>
      <c r="B13" s="23"/>
      <c r="C13" s="26">
        <f ca="1">+SUMIFS('Exhibit 3.1'!F:F,'Exhibit 3.1'!B:B,$A13)</f>
        <v>0.42764027306611635</v>
      </c>
      <c r="D13" s="23"/>
      <c r="E13" s="26">
        <f>+SUMIFS('Exhibit 4.1'!L:L,'Exhibit 4.1'!B:B,$A13)</f>
        <v>1.1029225550726849</v>
      </c>
      <c r="F13" s="23"/>
      <c r="G13" s="26">
        <f>SUMIFS('Exhibit 5.2'!S:S,'Exhibit 5.2'!A:A,A13)</f>
        <v>1.1603755614004561</v>
      </c>
      <c r="H13" s="23"/>
      <c r="I13" s="26">
        <f t="shared" ca="1" si="0"/>
        <v>0.40646676671889131</v>
      </c>
      <c r="J13" s="23"/>
      <c r="K13" s="57"/>
      <c r="L13" s="57"/>
      <c r="M13" s="57"/>
    </row>
    <row r="14" spans="1:13">
      <c r="A14" s="31">
        <f t="shared" si="1"/>
        <v>1992</v>
      </c>
      <c r="B14" s="23"/>
      <c r="C14" s="26">
        <f ca="1">+SUMIFS('Exhibit 3.1'!F:F,'Exhibit 3.1'!B:B,$A14)</f>
        <v>0.35223315517336656</v>
      </c>
      <c r="D14" s="23"/>
      <c r="E14" s="26">
        <f>+SUMIFS('Exhibit 4.1'!L:L,'Exhibit 4.1'!B:B,$A14)</f>
        <v>1.1628781131965749</v>
      </c>
      <c r="F14" s="23"/>
      <c r="G14" s="26">
        <f>SUMIFS('Exhibit 5.2'!S:S,'Exhibit 5.2'!A:A,A14)</f>
        <v>1.0551316551240195</v>
      </c>
      <c r="H14" s="23"/>
      <c r="I14" s="26">
        <f t="shared" ca="1" si="0"/>
        <v>0.38820200768702767</v>
      </c>
      <c r="J14" s="23"/>
      <c r="K14" s="57"/>
      <c r="L14" s="57"/>
      <c r="M14" s="57"/>
    </row>
    <row r="15" spans="1:13">
      <c r="A15" s="31">
        <f t="shared" si="1"/>
        <v>1993</v>
      </c>
      <c r="B15" s="23"/>
      <c r="C15" s="26">
        <f ca="1">+SUMIFS('Exhibit 3.1'!F:F,'Exhibit 3.1'!B:B,$A15)</f>
        <v>0.28914485470758883</v>
      </c>
      <c r="D15" s="23"/>
      <c r="E15" s="26">
        <f>+SUMIFS('Exhibit 4.1'!L:L,'Exhibit 4.1'!B:B,$A15)</f>
        <v>1.4113959293451086</v>
      </c>
      <c r="F15" s="23"/>
      <c r="G15" s="26">
        <f>SUMIFS('Exhibit 5.2'!S:S,'Exhibit 5.2'!A:A,A15)</f>
        <v>1.0206230165617773</v>
      </c>
      <c r="H15" s="23"/>
      <c r="I15" s="26">
        <f t="shared" ca="1" si="0"/>
        <v>0.39985172223545673</v>
      </c>
      <c r="J15" s="23"/>
      <c r="K15" s="57"/>
      <c r="L15" s="57"/>
      <c r="M15" s="57"/>
    </row>
    <row r="16" spans="1:13">
      <c r="A16" s="31">
        <f t="shared" si="1"/>
        <v>1994</v>
      </c>
      <c r="B16" s="23"/>
      <c r="C16" s="26">
        <f ca="1">+SUMIFS('Exhibit 3.1'!F:F,'Exhibit 3.1'!B:B,$A16)</f>
        <v>0.3285789254817037</v>
      </c>
      <c r="D16" s="23"/>
      <c r="E16" s="26">
        <f>+SUMIFS('Exhibit 4.1'!L:L,'Exhibit 4.1'!B:B,$A16)</f>
        <v>1.4754243472793438</v>
      </c>
      <c r="F16" s="23"/>
      <c r="G16" s="26">
        <f>SUMIFS('Exhibit 5.2'!S:S,'Exhibit 5.2'!A:A,A16)</f>
        <v>1.1541056839186297</v>
      </c>
      <c r="H16" s="23"/>
      <c r="I16" s="26">
        <f t="shared" ca="1" si="0"/>
        <v>0.42005975138475377</v>
      </c>
      <c r="J16" s="23"/>
      <c r="K16" s="57"/>
      <c r="L16" s="57"/>
      <c r="M16" s="57"/>
    </row>
    <row r="17" spans="1:13">
      <c r="A17" s="31">
        <f t="shared" si="1"/>
        <v>1995</v>
      </c>
      <c r="B17" s="23"/>
      <c r="C17" s="26">
        <f ca="1">+SUMIFS('Exhibit 3.1'!F:F,'Exhibit 3.1'!B:B,$A17)</f>
        <v>0.47383737518601227</v>
      </c>
      <c r="D17" s="23"/>
      <c r="E17" s="26">
        <f>+SUMIFS('Exhibit 4.1'!L:L,'Exhibit 4.1'!B:B,$A17)</f>
        <v>1.3660428636320301</v>
      </c>
      <c r="F17" s="23"/>
      <c r="G17" s="26">
        <f>SUMIFS('Exhibit 5.2'!S:S,'Exhibit 5.2'!A:A,A17)</f>
        <v>1.515697136461386</v>
      </c>
      <c r="H17" s="23"/>
      <c r="I17" s="26">
        <f t="shared" ca="1" si="0"/>
        <v>0.42705244294790878</v>
      </c>
      <c r="J17" s="23"/>
      <c r="K17" s="57"/>
      <c r="L17" s="57"/>
      <c r="M17" s="57"/>
    </row>
    <row r="18" spans="1:13">
      <c r="A18" s="31">
        <f t="shared" si="1"/>
        <v>1996</v>
      </c>
      <c r="B18" s="23"/>
      <c r="C18" s="26">
        <f ca="1">+SUMIFS('Exhibit 3.1'!F:F,'Exhibit 3.1'!B:B,$A18)</f>
        <v>0.5322437101239007</v>
      </c>
      <c r="D18" s="23"/>
      <c r="E18" s="26">
        <f>+SUMIFS('Exhibit 4.1'!L:L,'Exhibit 4.1'!B:B,$A18)</f>
        <v>1.2767966376744879</v>
      </c>
      <c r="F18" s="23"/>
      <c r="G18" s="26">
        <f>SUMIFS('Exhibit 5.2'!S:S,'Exhibit 5.2'!A:A,A18)</f>
        <v>1.5554964015319594</v>
      </c>
      <c r="H18" s="23"/>
      <c r="I18" s="26">
        <f t="shared" ca="1" si="0"/>
        <v>0.43688110036147115</v>
      </c>
      <c r="J18" s="23"/>
      <c r="K18" s="57"/>
      <c r="L18" s="57"/>
      <c r="M18" s="57"/>
    </row>
    <row r="19" spans="1:13">
      <c r="A19" s="31">
        <f t="shared" si="1"/>
        <v>1997</v>
      </c>
      <c r="B19" s="23"/>
      <c r="C19" s="26">
        <f ca="1">+SUMIFS('Exhibit 3.1'!F:F,'Exhibit 3.1'!B:B,$A19)</f>
        <v>0.60307230495038533</v>
      </c>
      <c r="D19" s="23"/>
      <c r="E19" s="26">
        <f>+SUMIFS('Exhibit 4.1'!L:L,'Exhibit 4.1'!B:B,$A19)</f>
        <v>1.1432828090494698</v>
      </c>
      <c r="F19" s="23"/>
      <c r="G19" s="26">
        <f>SUMIFS('Exhibit 5.2'!S:S,'Exhibit 5.2'!A:A,A19)</f>
        <v>1.5082278071543105</v>
      </c>
      <c r="H19" s="23"/>
      <c r="I19" s="26">
        <f t="shared" ca="1" si="0"/>
        <v>0.45714725295014558</v>
      </c>
      <c r="J19" s="23"/>
      <c r="K19" s="57"/>
      <c r="L19" s="57"/>
      <c r="M19" s="57"/>
    </row>
    <row r="20" spans="1:13">
      <c r="A20" s="31">
        <f t="shared" si="1"/>
        <v>1998</v>
      </c>
      <c r="B20" s="23"/>
      <c r="C20" s="26">
        <f ca="1">+SUMIFS('Exhibit 3.1'!F:F,'Exhibit 3.1'!B:B,$A20)</f>
        <v>0.65443187984583784</v>
      </c>
      <c r="D20" s="23"/>
      <c r="E20" s="26">
        <f>+SUMIFS('Exhibit 4.1'!L:L,'Exhibit 4.1'!B:B,$A20)</f>
        <v>1.0545235609263031</v>
      </c>
      <c r="F20" s="23"/>
      <c r="G20" s="26">
        <f>SUMIFS('Exhibit 5.2'!S:S,'Exhibit 5.2'!A:A,A20)</f>
        <v>1.5282274223560977</v>
      </c>
      <c r="H20" s="23"/>
      <c r="I20" s="26">
        <f t="shared" ca="1" si="0"/>
        <v>0.451577969497999</v>
      </c>
      <c r="J20" s="23"/>
      <c r="K20" s="57"/>
      <c r="L20" s="57"/>
      <c r="M20" s="57"/>
    </row>
    <row r="21" spans="1:13">
      <c r="A21" s="31">
        <f t="shared" si="1"/>
        <v>1999</v>
      </c>
      <c r="B21" s="23"/>
      <c r="C21" s="26">
        <f ca="1">+SUMIFS('Exhibit 3.1'!F:F,'Exhibit 3.1'!B:B,$A21)</f>
        <v>0.68635582290748809</v>
      </c>
      <c r="D21" s="23"/>
      <c r="E21" s="26">
        <f>+SUMIFS('Exhibit 4.1'!L:L,'Exhibit 4.1'!B:B,$A21)</f>
        <v>0.97713722418270565</v>
      </c>
      <c r="F21" s="23"/>
      <c r="G21" s="26">
        <f>SUMIFS('Exhibit 5.2'!S:S,'Exhibit 5.2'!A:A,A21)</f>
        <v>1.4521705982646964</v>
      </c>
      <c r="H21" s="23"/>
      <c r="I21" s="26">
        <f t="shared" ca="1" si="0"/>
        <v>0.46183542374352177</v>
      </c>
      <c r="J21" s="23"/>
      <c r="K21" s="57"/>
      <c r="L21" s="57"/>
      <c r="M21" s="57"/>
    </row>
    <row r="22" spans="1:13">
      <c r="A22" s="31">
        <f t="shared" si="1"/>
        <v>2000</v>
      </c>
      <c r="B22" s="23"/>
      <c r="C22" s="26">
        <f ca="1">+SUMIFS('Exhibit 3.1'!F:F,'Exhibit 3.1'!B:B,$A22)</f>
        <v>0.59484489665138118</v>
      </c>
      <c r="D22" s="23"/>
      <c r="E22" s="26">
        <f>+SUMIFS('Exhibit 4.1'!L:L,'Exhibit 4.1'!B:B,$A22)</f>
        <v>0.91218167900260905</v>
      </c>
      <c r="F22" s="23"/>
      <c r="G22" s="26">
        <f>SUMIFS('Exhibit 5.2'!S:S,'Exhibit 5.2'!A:A,A22)</f>
        <v>1.1491636612393317</v>
      </c>
      <c r="H22" s="23"/>
      <c r="I22" s="26">
        <f t="shared" ca="1" si="0"/>
        <v>0.47217523045273518</v>
      </c>
      <c r="J22" s="23"/>
      <c r="K22" s="57"/>
      <c r="L22" s="57"/>
      <c r="M22" s="57"/>
    </row>
    <row r="23" spans="1:13">
      <c r="A23" s="31">
        <f t="shared" si="1"/>
        <v>2001</v>
      </c>
      <c r="B23" s="23"/>
      <c r="C23" s="26">
        <f ca="1">+SUMIFS('Exhibit 3.1'!F:F,'Exhibit 3.1'!B:B,$A23)</f>
        <v>0.49402147952305631</v>
      </c>
      <c r="D23" s="23"/>
      <c r="E23" s="26">
        <f>+SUMIFS('Exhibit 4.1'!L:L,'Exhibit 4.1'!B:B,$A23)</f>
        <v>0.91310025786201821</v>
      </c>
      <c r="F23" s="23"/>
      <c r="G23" s="26">
        <f>SUMIFS('Exhibit 5.2'!S:S,'Exhibit 5.2'!A:A,A23)</f>
        <v>0.98115897739959268</v>
      </c>
      <c r="H23" s="23"/>
      <c r="I23" s="26">
        <f t="shared" ca="1" si="0"/>
        <v>0.4597533638609968</v>
      </c>
      <c r="J23" s="23"/>
      <c r="K23" s="57"/>
      <c r="L23" s="57"/>
      <c r="M23" s="57"/>
    </row>
    <row r="24" spans="1:13">
      <c r="A24" s="31">
        <f t="shared" si="1"/>
        <v>2002</v>
      </c>
      <c r="B24" s="23"/>
      <c r="C24" s="26">
        <f ca="1">+SUMIFS('Exhibit 3.1'!F:F,'Exhibit 3.1'!B:B,$A24)</f>
        <v>0.36857895567451926</v>
      </c>
      <c r="D24" s="23"/>
      <c r="E24" s="26">
        <f>+SUMIFS('Exhibit 4.1'!L:L,'Exhibit 4.1'!B:B,$A24)</f>
        <v>0.93527007627378489</v>
      </c>
      <c r="F24" s="23"/>
      <c r="G24" s="26">
        <f>SUMIFS('Exhibit 5.2'!S:S,'Exhibit 5.2'!A:A,A24)</f>
        <v>0.7507521016507307</v>
      </c>
      <c r="H24" s="23"/>
      <c r="I24" s="26">
        <f t="shared" ca="1" si="0"/>
        <v>0.45916736993297513</v>
      </c>
      <c r="J24" s="23"/>
      <c r="K24" s="57"/>
      <c r="L24" s="57"/>
      <c r="M24" s="57"/>
    </row>
    <row r="25" spans="1:13">
      <c r="A25" s="31">
        <f t="shared" si="1"/>
        <v>2003</v>
      </c>
      <c r="B25" s="23"/>
      <c r="C25" s="26">
        <f ca="1">+SUMIFS('Exhibit 3.1'!F:F,'Exhibit 3.1'!B:B,$A25)</f>
        <v>0.24378229933373546</v>
      </c>
      <c r="D25" s="23"/>
      <c r="E25" s="26">
        <f>+SUMIFS('Exhibit 4.1'!L:L,'Exhibit 4.1'!B:B,$A25)</f>
        <v>0.93237616045808613</v>
      </c>
      <c r="F25" s="23"/>
      <c r="G25" s="26">
        <f>SUMIFS('Exhibit 5.2'!S:S,'Exhibit 5.2'!A:A,A25)</f>
        <v>0.53212257499638538</v>
      </c>
      <c r="H25" s="23"/>
      <c r="I25" s="26">
        <f t="shared" ca="1" si="0"/>
        <v>0.4271512146275247</v>
      </c>
      <c r="J25" s="23"/>
      <c r="K25" s="57"/>
      <c r="L25" s="57"/>
      <c r="M25" s="57"/>
    </row>
    <row r="26" spans="1:13">
      <c r="A26" s="31">
        <f t="shared" si="1"/>
        <v>2004</v>
      </c>
      <c r="B26" s="23"/>
      <c r="C26" s="26">
        <f ca="1">+SUMIFS('Exhibit 3.1'!F:F,'Exhibit 3.1'!B:B,$A26)</f>
        <v>0.14534670844378031</v>
      </c>
      <c r="D26" s="23"/>
      <c r="E26" s="26">
        <f>+SUMIFS('Exhibit 4.1'!L:L,'Exhibit 4.1'!B:B,$A26)</f>
        <v>1.2763194418407802</v>
      </c>
      <c r="F26" s="23"/>
      <c r="G26" s="26">
        <f>SUMIFS('Exhibit 5.2'!S:S,'Exhibit 5.2'!A:A,A26)</f>
        <v>0.48392301619220246</v>
      </c>
      <c r="H26" s="23"/>
      <c r="I26" s="26">
        <f t="shared" ca="1" si="0"/>
        <v>0.3833436798564685</v>
      </c>
      <c r="J26" s="23"/>
      <c r="K26" s="57"/>
      <c r="L26" s="57"/>
      <c r="M26" s="57"/>
    </row>
    <row r="27" spans="1:13">
      <c r="A27" s="31">
        <f t="shared" si="1"/>
        <v>2005</v>
      </c>
      <c r="B27" s="23"/>
      <c r="C27" s="26">
        <f ca="1">+SUMIFS('Exhibit 3.1'!F:F,'Exhibit 3.1'!B:B,$A27)</f>
        <v>0.12470739994993148</v>
      </c>
      <c r="D27" s="23"/>
      <c r="E27" s="26">
        <f>+SUMIFS('Exhibit 4.1'!L:L,'Exhibit 4.1'!B:B,$A27)</f>
        <v>1.7298174188658664</v>
      </c>
      <c r="F27" s="23"/>
      <c r="G27" s="26">
        <f>SUMIFS('Exhibit 5.2'!S:S,'Exhibit 5.2'!A:A,A27)</f>
        <v>0.53644016607678224</v>
      </c>
      <c r="H27" s="23"/>
      <c r="I27" s="26">
        <f t="shared" ca="1" si="0"/>
        <v>0.40213437832689608</v>
      </c>
      <c r="J27" s="23"/>
      <c r="K27" s="57"/>
      <c r="L27" s="57"/>
      <c r="M27" s="57"/>
    </row>
    <row r="28" spans="1:13">
      <c r="A28" s="31">
        <f t="shared" si="1"/>
        <v>2006</v>
      </c>
      <c r="B28" s="23"/>
      <c r="C28" s="26">
        <f ca="1">+SUMIFS('Exhibit 3.1'!F:F,'Exhibit 3.1'!B:B,$A28)</f>
        <v>0.16124002599057796</v>
      </c>
      <c r="D28" s="23"/>
      <c r="E28" s="26">
        <f>+SUMIFS('Exhibit 4.1'!L:L,'Exhibit 4.1'!B:B,$A28)</f>
        <v>1.6997058114444188</v>
      </c>
      <c r="F28" s="23"/>
      <c r="G28" s="26">
        <f>SUMIFS('Exhibit 5.2'!S:S,'Exhibit 5.2'!A:A,A28)</f>
        <v>0.68984270053608088</v>
      </c>
      <c r="H28" s="23"/>
      <c r="I28" s="26">
        <f t="shared" ca="1" si="0"/>
        <v>0.39727985669872329</v>
      </c>
      <c r="J28" s="23"/>
      <c r="K28" s="57"/>
      <c r="L28" s="57"/>
      <c r="M28" s="57"/>
    </row>
    <row r="29" spans="1:13">
      <c r="A29" s="31">
        <f t="shared" si="1"/>
        <v>2007</v>
      </c>
      <c r="B29" s="23"/>
      <c r="C29" s="26">
        <f ca="1">+SUMIFS('Exhibit 3.1'!F:F,'Exhibit 3.1'!B:B,$A29)</f>
        <v>0.22246477899721032</v>
      </c>
      <c r="D29" s="23"/>
      <c r="E29" s="26">
        <f>+SUMIFS('Exhibit 4.1'!L:L,'Exhibit 4.1'!B:B,$A29)</f>
        <v>1.6385296677686103</v>
      </c>
      <c r="F29" s="23"/>
      <c r="G29" s="26">
        <f>SUMIFS('Exhibit 5.2'!S:S,'Exhibit 5.2'!A:A,A29)</f>
        <v>0.88164928427798583</v>
      </c>
      <c r="H29" s="23"/>
      <c r="I29" s="26">
        <f t="shared" ca="1" si="0"/>
        <v>0.41344687385418893</v>
      </c>
      <c r="J29" s="23"/>
      <c r="K29" s="57"/>
      <c r="L29" s="57"/>
      <c r="M29" s="57"/>
    </row>
    <row r="30" spans="1:13">
      <c r="A30" s="31">
        <f t="shared" si="1"/>
        <v>2008</v>
      </c>
      <c r="B30" s="23"/>
      <c r="C30" s="26">
        <f ca="1">+SUMIFS('Exhibit 3.1'!F:F,'Exhibit 3.1'!B:B,$A30)</f>
        <v>0.28176295114982519</v>
      </c>
      <c r="D30" s="23"/>
      <c r="E30" s="26">
        <f>+SUMIFS('Exhibit 4.1'!L:L,'Exhibit 4.1'!B:B,$A30)</f>
        <v>1.5387698634064877</v>
      </c>
      <c r="F30" s="23"/>
      <c r="G30" s="26">
        <f>SUMIFS('Exhibit 5.2'!S:S,'Exhibit 5.2'!A:A,A30)</f>
        <v>1.0651391467551379</v>
      </c>
      <c r="H30" s="23"/>
      <c r="I30" s="26">
        <f t="shared" ca="1" si="0"/>
        <v>0.40705323729266452</v>
      </c>
      <c r="J30" s="23"/>
      <c r="K30" s="57"/>
      <c r="L30" s="57"/>
      <c r="M30" s="57"/>
    </row>
    <row r="31" spans="1:13">
      <c r="A31" s="31">
        <f t="shared" si="1"/>
        <v>2009</v>
      </c>
      <c r="B31" s="23"/>
      <c r="C31" s="26">
        <f ca="1">+SUMIFS('Exhibit 3.1'!F:F,'Exhibit 3.1'!B:B,$A31)</f>
        <v>0.33021211189057875</v>
      </c>
      <c r="D31" s="23"/>
      <c r="E31" s="26">
        <f>+SUMIFS('Exhibit 4.1'!L:L,'Exhibit 4.1'!B:B,$A31)</f>
        <v>1.5084616823372587</v>
      </c>
      <c r="F31" s="23"/>
      <c r="G31" s="26">
        <f>SUMIFS('Exhibit 5.2'!S:S,'Exhibit 5.2'!A:A,A31)</f>
        <v>1.1491182482454796</v>
      </c>
      <c r="H31" s="23"/>
      <c r="I31" s="26">
        <f t="shared" ca="1" si="0"/>
        <v>0.43347350770135246</v>
      </c>
      <c r="J31" s="23"/>
      <c r="K31" s="57"/>
      <c r="L31" s="57"/>
      <c r="M31" s="57"/>
    </row>
    <row r="32" spans="1:13">
      <c r="A32" s="31">
        <f t="shared" si="1"/>
        <v>2010</v>
      </c>
      <c r="B32" s="23"/>
      <c r="C32" s="26">
        <f ca="1">+SUMIFS('Exhibit 3.1'!F:F,'Exhibit 3.1'!B:B,$A32)</f>
        <v>0.31852406041385461</v>
      </c>
      <c r="D32" s="23"/>
      <c r="E32" s="26">
        <f>+SUMIFS('Exhibit 4.1'!L:L,'Exhibit 4.1'!B:B,$A32)</f>
        <v>1.4802481525496625</v>
      </c>
      <c r="F32" s="23"/>
      <c r="G32" s="26">
        <f>SUMIFS('Exhibit 5.2'!S:S,'Exhibit 5.2'!A:A,A32)</f>
        <v>1.0447197387238547</v>
      </c>
      <c r="H32" s="23"/>
      <c r="I32" s="26">
        <f t="shared" ca="1" si="0"/>
        <v>0.45131209308456754</v>
      </c>
      <c r="J32" s="23"/>
      <c r="K32" s="57"/>
      <c r="L32" s="57"/>
      <c r="M32" s="57"/>
    </row>
    <row r="33" spans="1:13">
      <c r="A33" s="31">
        <f t="shared" si="1"/>
        <v>2011</v>
      </c>
      <c r="B33" s="23"/>
      <c r="C33" s="26">
        <f ca="1">+SUMIFS('Exhibit 3.1'!F:F,'Exhibit 3.1'!B:B,$A33)</f>
        <v>0.29630136209646551</v>
      </c>
      <c r="D33" s="23"/>
      <c r="E33" s="26">
        <f>+SUMIFS('Exhibit 4.1'!L:L,'Exhibit 4.1'!B:B,$A33)</f>
        <v>1.459810801331028</v>
      </c>
      <c r="F33" s="23"/>
      <c r="G33" s="26">
        <f>SUMIFS('Exhibit 5.2'!S:S,'Exhibit 5.2'!A:A,A33)</f>
        <v>0.95315428739305696</v>
      </c>
      <c r="H33" s="23"/>
      <c r="I33" s="26">
        <f t="shared" ca="1" si="0"/>
        <v>0.45380263673843824</v>
      </c>
      <c r="J33" s="23"/>
      <c r="K33" s="57"/>
      <c r="L33" s="57"/>
      <c r="M33" s="57"/>
    </row>
    <row r="34" spans="1:13">
      <c r="A34" s="31">
        <f t="shared" si="1"/>
        <v>2012</v>
      </c>
      <c r="B34" s="23"/>
      <c r="C34" s="26">
        <f ca="1">+SUMIFS('Exhibit 3.1'!F:F,'Exhibit 3.1'!B:B,$A34)</f>
        <v>0.26488316853003413</v>
      </c>
      <c r="D34" s="23"/>
      <c r="E34" s="26">
        <f>+SUMIFS('Exhibit 4.1'!L:L,'Exhibit 4.1'!B:B,$A34)</f>
        <v>1.4417282260169773</v>
      </c>
      <c r="F34" s="23"/>
      <c r="G34" s="26">
        <f>SUMIFS('Exhibit 5.2'!S:S,'Exhibit 5.2'!A:A,A34)</f>
        <v>0.84820299734727356</v>
      </c>
      <c r="H34" s="23"/>
      <c r="I34" s="26">
        <f t="shared" ca="1" si="0"/>
        <v>0.45023366088178046</v>
      </c>
      <c r="J34" s="23"/>
      <c r="K34" s="57"/>
      <c r="L34" s="57"/>
      <c r="M34" s="57"/>
    </row>
    <row r="35" spans="1:13">
      <c r="A35" s="31">
        <f t="shared" si="1"/>
        <v>2013</v>
      </c>
      <c r="B35" s="23"/>
      <c r="C35" s="26">
        <f ca="1">+SUMIFS('Exhibit 3.1'!F:F,'Exhibit 3.1'!B:B,$A35)</f>
        <v>0.22565575872562502</v>
      </c>
      <c r="D35" s="23"/>
      <c r="E35" s="26">
        <f>+SUMIFS('Exhibit 4.1'!L:L,'Exhibit 4.1'!B:B,$A35)</f>
        <v>1.409885491997501</v>
      </c>
      <c r="F35" s="23"/>
      <c r="G35" s="26">
        <f>SUMIFS('Exhibit 5.2'!S:S,'Exhibit 5.2'!A:A,A35)</f>
        <v>0.74133949974490965</v>
      </c>
      <c r="H35" s="23"/>
      <c r="I35" s="26">
        <f t="shared" ca="1" si="0"/>
        <v>0.42915395783230254</v>
      </c>
      <c r="J35" s="23"/>
      <c r="K35" s="57"/>
      <c r="L35" s="57"/>
      <c r="M35" s="57"/>
    </row>
    <row r="36" spans="1:13">
      <c r="A36" s="31">
        <f t="shared" si="1"/>
        <v>2014</v>
      </c>
      <c r="B36" s="26"/>
      <c r="C36" s="26">
        <f ca="1">+SUMIFS('Exhibit 3.1'!F:F,'Exhibit 3.1'!B:B,$A36)</f>
        <v>0.21405272159432895</v>
      </c>
      <c r="D36" s="26"/>
      <c r="E36" s="26">
        <f>+SUMIFS('Exhibit 4.1'!L:L,'Exhibit 4.1'!B:B,$A36)</f>
        <v>1.2911632954906382</v>
      </c>
      <c r="F36" s="26"/>
      <c r="G36" s="26">
        <f>SUMIFS('Exhibit 5.2'!S:S,'Exhibit 5.2'!A:A,A36)</f>
        <v>0.68287855670079389</v>
      </c>
      <c r="H36" s="373"/>
      <c r="I36" s="26">
        <f t="shared" ca="1" si="0"/>
        <v>0.40472352618266449</v>
      </c>
      <c r="J36" s="26"/>
      <c r="K36" s="57"/>
      <c r="L36" s="57"/>
      <c r="M36" s="57"/>
    </row>
    <row r="37" spans="1:13">
      <c r="A37" s="31">
        <f t="shared" si="1"/>
        <v>2015</v>
      </c>
      <c r="B37" s="26"/>
      <c r="C37" s="26">
        <f ca="1">+SUMIFS('Exhibit 3.1'!F:F,'Exhibit 3.1'!B:B,$A37)</f>
        <v>0.20917005349533607</v>
      </c>
      <c r="D37" s="26"/>
      <c r="E37" s="26">
        <f>+SUMIFS('Exhibit 4.1'!L:L,'Exhibit 4.1'!B:B,$A37)</f>
        <v>1.2728036443398858</v>
      </c>
      <c r="F37" s="26"/>
      <c r="G37" s="26">
        <f>SUMIFS('Exhibit 5.2'!S:S,'Exhibit 5.2'!A:A,A37)</f>
        <v>0.65239293649479857</v>
      </c>
      <c r="H37" s="373"/>
      <c r="I37" s="26">
        <f t="shared" ca="1" si="0"/>
        <v>0.40808597316527695</v>
      </c>
      <c r="J37" s="26"/>
      <c r="K37" s="57"/>
      <c r="L37" s="57"/>
      <c r="M37" s="57"/>
    </row>
    <row r="38" spans="1:13">
      <c r="A38" s="31">
        <f t="shared" si="1"/>
        <v>2016</v>
      </c>
      <c r="B38" s="26"/>
      <c r="C38" s="26">
        <f ca="1">+SUMIFS('Exhibit 3.1'!F:F,'Exhibit 3.1'!B:B,$A38)</f>
        <v>0.19863237517851687</v>
      </c>
      <c r="D38" s="26"/>
      <c r="E38" s="26">
        <f>+SUMIFS('Exhibit 4.1'!L:L,'Exhibit 4.1'!B:B,$A38)</f>
        <v>1.2568082457956447</v>
      </c>
      <c r="F38" s="26"/>
      <c r="G38" s="26">
        <f>SUMIFS('Exhibit 5.2'!S:S,'Exhibit 5.2'!A:A,A38)</f>
        <v>0.67406532007930431</v>
      </c>
      <c r="H38" s="373"/>
      <c r="I38" s="26">
        <f t="shared" ca="1" si="0"/>
        <v>0.37035402886023489</v>
      </c>
      <c r="J38" s="26"/>
      <c r="K38" s="57"/>
      <c r="L38" s="57"/>
      <c r="M38" s="57"/>
    </row>
    <row r="39" spans="1:13">
      <c r="A39" s="31">
        <f t="shared" si="1"/>
        <v>2017</v>
      </c>
      <c r="B39" s="26"/>
      <c r="C39" s="26">
        <f ca="1">+SUMIFS('Exhibit 3.1'!F:F,'Exhibit 3.1'!B:B,$A39)</f>
        <v>0.20411310743028266</v>
      </c>
      <c r="D39" s="26"/>
      <c r="E39" s="26">
        <f>+SUMIFS('Exhibit 4.1'!L:L,'Exhibit 4.1'!B:B,$A39)</f>
        <v>1.2240008611148392</v>
      </c>
      <c r="F39" s="26"/>
      <c r="G39" s="26">
        <f>SUMIFS('Exhibit 5.2'!S:S,'Exhibit 5.2'!A:A,A39)</f>
        <v>0.70557323538357308</v>
      </c>
      <c r="H39" s="373"/>
      <c r="I39" s="26">
        <f ca="1">C39*E39/G39</f>
        <v>0.3540874380299775</v>
      </c>
      <c r="J39" s="26"/>
      <c r="K39" s="57"/>
      <c r="L39" s="57"/>
      <c r="M39" s="57"/>
    </row>
    <row r="40" spans="1:13">
      <c r="A40" s="31">
        <f t="shared" si="1"/>
        <v>2018</v>
      </c>
      <c r="B40" s="26"/>
      <c r="C40" s="26">
        <f ca="1">+SUMIFS('Exhibit 3.1'!F:F,'Exhibit 3.1'!B:B,$A40)</f>
        <v>0.21798286536584621</v>
      </c>
      <c r="D40" s="26"/>
      <c r="E40" s="26">
        <f>+SUMIFS('Exhibit 4.1'!L:L,'Exhibit 4.1'!B:B,$A40)</f>
        <v>1.1924059199354926</v>
      </c>
      <c r="F40" s="26"/>
      <c r="G40" s="26">
        <f>SUMIFS('Exhibit 5.2'!S:S,'Exhibit 5.2'!A:A,A40)</f>
        <v>0.74272236795168833</v>
      </c>
      <c r="H40" s="373"/>
      <c r="I40" s="26">
        <f ca="1">C40*E40/G40</f>
        <v>0.34996126456183924</v>
      </c>
      <c r="J40" s="23"/>
      <c r="K40" s="57"/>
      <c r="L40" s="57"/>
      <c r="M40" s="57"/>
    </row>
    <row r="41" spans="1:13" ht="14.5">
      <c r="A41" s="31">
        <f t="shared" si="1"/>
        <v>2019</v>
      </c>
      <c r="B41" s="26"/>
      <c r="C41" s="26">
        <f ca="1">+SUMIFS('Exhibit 3.1'!F:F,'Exhibit 3.1'!B:B,$A41)</f>
        <v>0.25653422708545326</v>
      </c>
      <c r="D41" s="26"/>
      <c r="E41" s="26">
        <f>+SUMIFS('Exhibit 4.1'!L:L,'Exhibit 4.1'!B:B,$A41)</f>
        <v>1.1601662909106349</v>
      </c>
      <c r="F41" s="26"/>
      <c r="G41" s="26">
        <f>SUMIFS('Exhibit 5.2'!S:S,'Exhibit 5.2'!A:A,A41)</f>
        <v>0.82315346775084608</v>
      </c>
      <c r="H41" s="373"/>
      <c r="I41" s="26">
        <f t="shared" ref="I41:I44" ca="1" si="2">C41*E41/G41</f>
        <v>0.36156363836086253</v>
      </c>
      <c r="J41" s="23"/>
      <c r="K41" s="203"/>
      <c r="L41" s="203"/>
      <c r="M41" s="203"/>
    </row>
    <row r="42" spans="1:13" ht="14.5">
      <c r="A42" s="31">
        <f t="shared" si="1"/>
        <v>2020</v>
      </c>
      <c r="B42" s="26"/>
      <c r="C42" s="26">
        <f ca="1">+SUMIFS('Exhibit 3.1'!F:F,'Exhibit 3.1'!B:B,$A42)</f>
        <v>0.27095178427834588</v>
      </c>
      <c r="D42" s="26"/>
      <c r="E42" s="26">
        <f>+SUMIFS('Exhibit 4.1'!L:L,'Exhibit 4.1'!B:B,$A42)</f>
        <v>1.1266958964572658</v>
      </c>
      <c r="F42" s="26"/>
      <c r="G42" s="26">
        <f>SUMIFS('Exhibit 5.2'!S:S,'Exhibit 5.2'!A:A,A42)</f>
        <v>0.87274655271555501</v>
      </c>
      <c r="H42" s="373"/>
      <c r="I42" s="26">
        <f t="shared" ca="1" si="2"/>
        <v>0.34979257441270389</v>
      </c>
      <c r="J42" s="23"/>
      <c r="K42" s="203"/>
      <c r="L42" s="203"/>
      <c r="M42" s="203"/>
    </row>
    <row r="43" spans="1:13" ht="14.5">
      <c r="A43" s="31">
        <f t="shared" si="1"/>
        <v>2021</v>
      </c>
      <c r="B43" s="26"/>
      <c r="C43" s="26">
        <f ca="1">+SUMIFS('Exhibit 3.1'!F:F,'Exhibit 3.1'!B:B,$A43)</f>
        <v>0.31124939797996803</v>
      </c>
      <c r="D43" s="26"/>
      <c r="E43" s="26">
        <f>+SUMIFS('Exhibit 4.1'!L:L,'Exhibit 4.1'!B:B,$A43)</f>
        <v>1.0861174619609431</v>
      </c>
      <c r="F43" s="26"/>
      <c r="G43" s="26">
        <f>SUMIFS('Exhibit 5.2'!S:S,'Exhibit 5.2'!A:A,A43)</f>
        <v>0.90719576192335227</v>
      </c>
      <c r="H43" s="378"/>
      <c r="I43" s="26">
        <f t="shared" ca="1" si="2"/>
        <v>0.37263556594903496</v>
      </c>
      <c r="J43" s="23"/>
      <c r="K43" s="203"/>
      <c r="L43" s="203"/>
      <c r="M43" s="203"/>
    </row>
    <row r="44" spans="1:13" ht="14.5">
      <c r="A44" s="31">
        <f t="shared" si="1"/>
        <v>2022</v>
      </c>
      <c r="B44" s="26"/>
      <c r="C44" s="26">
        <f ca="1">+SUMIFS('Exhibit 3.1'!F:F,'Exhibit 3.1'!B:B,$A44)</f>
        <v>0.31104112967465736</v>
      </c>
      <c r="D44" s="26"/>
      <c r="E44" s="26">
        <f>+SUMIFS('Exhibit 4.1'!L:L,'Exhibit 4.1'!B:B,$A44)</f>
        <v>1.0552944224694554</v>
      </c>
      <c r="F44" s="26"/>
      <c r="G44" s="26">
        <f>SUMIFS('Exhibit 5.2'!S:S,'Exhibit 5.2'!A:A,A44)</f>
        <v>0.90294356274550347</v>
      </c>
      <c r="H44" s="373"/>
      <c r="I44" s="26">
        <f t="shared" ca="1" si="2"/>
        <v>0.36352213233151942</v>
      </c>
      <c r="J44" s="23"/>
      <c r="K44" s="532" t="s">
        <v>238</v>
      </c>
      <c r="L44" s="533"/>
      <c r="M44" s="534"/>
    </row>
    <row r="45" spans="1:13">
      <c r="A45" s="236"/>
      <c r="B45" s="148"/>
      <c r="C45" s="31"/>
      <c r="D45" s="33"/>
      <c r="E45" s="373"/>
      <c r="F45" s="373"/>
      <c r="G45" s="373"/>
      <c r="H45" s="148"/>
      <c r="I45" s="57"/>
      <c r="J45" s="148"/>
      <c r="K45" s="487" t="s">
        <v>349</v>
      </c>
      <c r="L45" s="405" t="s">
        <v>237</v>
      </c>
      <c r="M45" s="488" t="s">
        <v>277</v>
      </c>
    </row>
    <row r="46" spans="1:13">
      <c r="A46" s="429"/>
      <c r="B46" s="20"/>
      <c r="C46" s="145"/>
      <c r="D46" s="20"/>
      <c r="E46" s="145"/>
      <c r="F46" s="145"/>
      <c r="G46" s="145"/>
      <c r="H46" s="20"/>
      <c r="I46" s="145" t="s">
        <v>217</v>
      </c>
      <c r="J46" s="148"/>
      <c r="K46" s="456"/>
      <c r="L46" s="489"/>
      <c r="M46" s="115"/>
    </row>
    <row r="47" spans="1:13">
      <c r="A47" s="486">
        <f>A44+1</f>
        <v>2023</v>
      </c>
      <c r="B47" s="20"/>
      <c r="C47" s="145"/>
      <c r="D47" s="20"/>
      <c r="E47" s="145"/>
      <c r="F47" s="145"/>
      <c r="G47" s="145"/>
      <c r="H47" s="20"/>
      <c r="I47" s="24">
        <f ca="1">AVERAGE($I$43*(1+$L$47)*(1+$L$48)*(1+$M$47)*(1+$M$48),$I$44*(1+$L$48)*(1+$M$48))</f>
        <v>0.37052245667686878</v>
      </c>
      <c r="J47" s="148"/>
      <c r="K47" s="456">
        <f>+'Exhibit 6.1'!A51</f>
        <v>2022</v>
      </c>
      <c r="L47" s="489">
        <v>-2E-3</v>
      </c>
      <c r="M47" s="115">
        <f>+'Exhibit 6.2'!$L$48</f>
        <v>0.01</v>
      </c>
    </row>
    <row r="48" spans="1:13">
      <c r="A48" s="486">
        <f>A47+1</f>
        <v>2024</v>
      </c>
      <c r="B48" s="20"/>
      <c r="C48" s="145"/>
      <c r="D48" s="20"/>
      <c r="E48" s="145"/>
      <c r="F48" s="145"/>
      <c r="G48" s="145"/>
      <c r="H48" s="20"/>
      <c r="I48" s="24">
        <f ca="1">AVERAGE($I$43*(1+$L$47)*(1+$L$48)*(1+$L$49)*(1+$M$47)*(1+$M$48)*(1+$M$49),$I$44*(1+$L$48)*(1+$L$49)*(1+$M$48)*(1+$M$49))</f>
        <v>0.36796542889499029</v>
      </c>
      <c r="J48" s="148"/>
      <c r="K48" s="456">
        <f>+'Exhibit 6.1'!A52</f>
        <v>2023</v>
      </c>
      <c r="L48" s="503">
        <f>'Exhibit 6.1'!B52</f>
        <v>-7.3376609437143525E-3</v>
      </c>
      <c r="M48" s="490">
        <f>+'Exhibit 6.2'!$L$48</f>
        <v>0.01</v>
      </c>
    </row>
    <row r="49" spans="1:13">
      <c r="A49" s="83" t="str">
        <f>'Exhibit 4.1'!$B$47</f>
        <v>9/1/2024</v>
      </c>
      <c r="B49" s="20"/>
      <c r="C49" s="145"/>
      <c r="D49" s="20"/>
      <c r="E49" s="145"/>
      <c r="F49" s="145"/>
      <c r="G49" s="145"/>
      <c r="H49" s="20"/>
      <c r="I49" s="24">
        <f ca="1">I48*((1+L50)^(2/12))*((1+M50)^(2/12))</f>
        <v>0.36784015773914253</v>
      </c>
      <c r="J49" s="148"/>
      <c r="K49" s="456">
        <f>+'Exhibit 6.1'!A53</f>
        <v>2024</v>
      </c>
      <c r="L49" s="503">
        <f>'Exhibit 6.1'!B53</f>
        <v>-1.673380314314632E-2</v>
      </c>
      <c r="M49" s="490">
        <f>+'Exhibit 6.2'!$L$48</f>
        <v>0.01</v>
      </c>
    </row>
    <row r="50" spans="1:13">
      <c r="A50" s="250"/>
      <c r="B50" s="148"/>
      <c r="C50" s="31"/>
      <c r="D50" s="33"/>
      <c r="E50" s="250"/>
      <c r="F50" s="250"/>
      <c r="G50" s="250"/>
      <c r="H50" s="148"/>
      <c r="I50" s="148"/>
      <c r="J50" s="148"/>
      <c r="K50" s="491">
        <f>+'Exhibit 6.1'!A54</f>
        <v>2025</v>
      </c>
      <c r="L50" s="504">
        <f>'Exhibit 6.1'!B54</f>
        <v>-1.1921701644935112E-2</v>
      </c>
      <c r="M50" s="492">
        <f>+'Exhibit 6.2'!$L$48</f>
        <v>0.01</v>
      </c>
    </row>
    <row r="51" spans="1:13">
      <c r="A51" s="34" t="s">
        <v>22</v>
      </c>
      <c r="B51" s="510" t="s">
        <v>218</v>
      </c>
      <c r="C51" s="510"/>
      <c r="D51" s="510"/>
      <c r="E51" s="510"/>
      <c r="F51" s="510"/>
      <c r="G51" s="510"/>
      <c r="H51" s="510"/>
      <c r="I51" s="510"/>
      <c r="J51" s="148"/>
      <c r="K51" s="57"/>
      <c r="L51" s="57"/>
      <c r="M51" s="57"/>
    </row>
    <row r="52" spans="1:13">
      <c r="A52" s="34" t="s">
        <v>28</v>
      </c>
      <c r="B52" s="510" t="s">
        <v>219</v>
      </c>
      <c r="C52" s="510"/>
      <c r="D52" s="510"/>
      <c r="E52" s="510"/>
      <c r="F52" s="510"/>
      <c r="G52" s="510"/>
      <c r="H52" s="510"/>
      <c r="I52" s="510"/>
      <c r="J52" s="148"/>
      <c r="K52" s="57"/>
      <c r="L52" s="57"/>
      <c r="M52" s="57"/>
    </row>
    <row r="53" spans="1:13">
      <c r="A53" s="34" t="s">
        <v>38</v>
      </c>
      <c r="B53" s="510" t="s">
        <v>220</v>
      </c>
      <c r="C53" s="510"/>
      <c r="D53" s="510"/>
      <c r="E53" s="510"/>
      <c r="F53" s="510"/>
      <c r="G53" s="510"/>
      <c r="H53" s="510"/>
      <c r="I53" s="510"/>
      <c r="J53" s="218"/>
      <c r="K53" s="57"/>
      <c r="L53" s="57"/>
      <c r="M53" s="57"/>
    </row>
    <row r="54" spans="1:13" ht="52" customHeight="1">
      <c r="A54" s="34" t="s">
        <v>57</v>
      </c>
      <c r="B54" s="510" t="s">
        <v>500</v>
      </c>
      <c r="C54" s="510"/>
      <c r="D54" s="510"/>
      <c r="E54" s="510"/>
      <c r="F54" s="510"/>
      <c r="G54" s="510"/>
      <c r="H54" s="510"/>
      <c r="I54" s="510"/>
      <c r="J54" s="218"/>
      <c r="K54" s="57"/>
      <c r="L54" s="57"/>
      <c r="M54" s="57"/>
    </row>
  </sheetData>
  <mergeCells count="5">
    <mergeCell ref="B54:I54"/>
    <mergeCell ref="B51:I51"/>
    <mergeCell ref="K44:M44"/>
    <mergeCell ref="B52:I52"/>
    <mergeCell ref="B53:I53"/>
  </mergeCells>
  <printOptions horizontalCentered="1"/>
  <pageMargins left="0.5" right="0.5" top="0.75" bottom="0.75" header="0.33" footer="0.33"/>
  <pageSetup scale="90" orientation="portrait" blackAndWhite="1" horizontalDpi="1200" verticalDpi="1200" r:id="rId1"/>
  <headerFooter scaleWithDoc="0">
    <oddHeader>&amp;R&amp;"Arial,Regular"&amp;10Exhibit 7.1</oddHeader>
  </headerFooter>
  <ignoredErrors>
    <ignoredError sqref="C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W34"/>
  <sheetViews>
    <sheetView zoomScaleNormal="100" zoomScaleSheetLayoutView="115" workbookViewId="0"/>
  </sheetViews>
  <sheetFormatPr defaultColWidth="9.1796875" defaultRowHeight="12.5"/>
  <cols>
    <col min="1" max="1" width="13.1796875" style="56" customWidth="1"/>
    <col min="2" max="22" width="7.81640625" style="56" customWidth="1"/>
    <col min="23" max="23" width="13.1796875" style="57" bestFit="1" customWidth="1"/>
    <col min="24" max="16384" width="9.1796875" style="56"/>
  </cols>
  <sheetData>
    <row r="1" spans="1:23" ht="15" customHeight="1">
      <c r="A1" s="220" t="s">
        <v>23</v>
      </c>
      <c r="B1" s="220"/>
      <c r="C1" s="220"/>
      <c r="D1" s="220"/>
      <c r="E1" s="220"/>
      <c r="F1" s="220"/>
      <c r="G1" s="220"/>
      <c r="H1" s="220"/>
      <c r="I1" s="220"/>
      <c r="J1" s="220"/>
      <c r="K1" s="220"/>
      <c r="L1" s="220"/>
      <c r="M1" s="220"/>
      <c r="N1" s="220"/>
      <c r="O1" s="220"/>
      <c r="P1" s="220"/>
      <c r="Q1" s="220"/>
      <c r="R1" s="220"/>
      <c r="S1" s="220"/>
      <c r="T1" s="220"/>
      <c r="U1" s="220"/>
      <c r="V1" s="220"/>
      <c r="W1" s="252"/>
    </row>
    <row r="2" spans="1:23" ht="13">
      <c r="A2" s="128"/>
      <c r="B2" s="128"/>
      <c r="C2" s="128"/>
      <c r="D2" s="128"/>
      <c r="E2" s="128"/>
      <c r="F2" s="128"/>
      <c r="G2" s="128"/>
      <c r="H2" s="128"/>
      <c r="I2" s="128"/>
      <c r="J2" s="128"/>
      <c r="K2" s="128"/>
      <c r="L2" s="128"/>
      <c r="M2" s="128"/>
      <c r="N2" s="128"/>
      <c r="O2" s="128"/>
      <c r="P2" s="128"/>
      <c r="Q2" s="128"/>
      <c r="R2" s="128"/>
      <c r="S2" s="128"/>
      <c r="T2" s="128"/>
      <c r="U2" s="128"/>
      <c r="V2" s="128"/>
    </row>
    <row r="3" spans="1:23" ht="14.5">
      <c r="A3" s="343"/>
      <c r="B3" s="212" t="s">
        <v>18</v>
      </c>
      <c r="C3" s="212"/>
      <c r="D3" s="212"/>
      <c r="E3" s="212"/>
      <c r="F3" s="212"/>
      <c r="G3" s="212"/>
      <c r="H3" s="212"/>
      <c r="I3" s="212"/>
      <c r="J3" s="212"/>
      <c r="K3" s="212"/>
      <c r="L3" s="212"/>
      <c r="M3" s="212"/>
      <c r="N3" s="212"/>
      <c r="O3" s="212"/>
      <c r="P3" s="212"/>
      <c r="Q3" s="212"/>
      <c r="R3" s="212"/>
      <c r="S3" s="212"/>
      <c r="T3" s="212"/>
      <c r="U3" s="212"/>
      <c r="V3" s="212"/>
      <c r="W3" s="358"/>
    </row>
    <row r="4" spans="1:23">
      <c r="A4" s="216" t="s">
        <v>19</v>
      </c>
      <c r="B4" s="216" t="s">
        <v>523</v>
      </c>
      <c r="C4" s="216" t="s">
        <v>524</v>
      </c>
      <c r="D4" s="216" t="s">
        <v>525</v>
      </c>
      <c r="E4" s="216" t="s">
        <v>526</v>
      </c>
      <c r="F4" s="216" t="s">
        <v>527</v>
      </c>
      <c r="G4" s="216" t="s">
        <v>528</v>
      </c>
      <c r="H4" s="216" t="s">
        <v>529</v>
      </c>
      <c r="I4" s="216" t="s">
        <v>530</v>
      </c>
      <c r="J4" s="216" t="s">
        <v>531</v>
      </c>
      <c r="K4" s="216" t="s">
        <v>532</v>
      </c>
      <c r="L4" s="216" t="s">
        <v>533</v>
      </c>
      <c r="M4" s="216" t="s">
        <v>534</v>
      </c>
      <c r="N4" s="216" t="s">
        <v>535</v>
      </c>
      <c r="O4" s="216" t="s">
        <v>536</v>
      </c>
      <c r="P4" s="216" t="s">
        <v>537</v>
      </c>
      <c r="Q4" s="216" t="s">
        <v>538</v>
      </c>
      <c r="R4" s="216" t="s">
        <v>539</v>
      </c>
      <c r="S4" s="216" t="s">
        <v>540</v>
      </c>
      <c r="T4" s="216" t="s">
        <v>541</v>
      </c>
      <c r="U4" s="216" t="s">
        <v>542</v>
      </c>
      <c r="V4" s="216" t="s">
        <v>543</v>
      </c>
      <c r="W4" s="216" t="s">
        <v>544</v>
      </c>
    </row>
    <row r="5" spans="1:23">
      <c r="A5" s="213">
        <f t="shared" ref="A5:A26" si="0">+A6-1</f>
        <v>1983</v>
      </c>
      <c r="B5" s="402" t="s">
        <v>34</v>
      </c>
      <c r="C5" s="402" t="s">
        <v>34</v>
      </c>
      <c r="D5" s="402" t="s">
        <v>34</v>
      </c>
      <c r="E5" s="402" t="s">
        <v>34</v>
      </c>
      <c r="F5" s="402" t="s">
        <v>34</v>
      </c>
      <c r="G5" s="402" t="s">
        <v>34</v>
      </c>
      <c r="H5" s="402" t="s">
        <v>34</v>
      </c>
      <c r="I5" s="402" t="s">
        <v>34</v>
      </c>
      <c r="J5" s="402" t="s">
        <v>34</v>
      </c>
      <c r="K5" s="402">
        <v>1</v>
      </c>
      <c r="L5" s="402">
        <v>1.0009999999999999</v>
      </c>
      <c r="M5" s="402">
        <v>1.0009999999999999</v>
      </c>
      <c r="N5" s="402">
        <v>1.0009999999999999</v>
      </c>
      <c r="O5" s="402">
        <v>1.0009999999999999</v>
      </c>
      <c r="P5" s="402">
        <v>1.0009999999999999</v>
      </c>
      <c r="Q5" s="402">
        <v>1</v>
      </c>
      <c r="R5" s="402">
        <v>1.0009999999999999</v>
      </c>
      <c r="S5" s="402">
        <v>1.0009999999999999</v>
      </c>
      <c r="T5" s="402">
        <v>1.0009999999999999</v>
      </c>
      <c r="U5" s="402">
        <v>1.0009999999999999</v>
      </c>
      <c r="V5" s="402">
        <v>1.0009999999999999</v>
      </c>
      <c r="W5" s="402"/>
    </row>
    <row r="6" spans="1:23">
      <c r="A6" s="213">
        <f t="shared" si="0"/>
        <v>1984</v>
      </c>
      <c r="B6" s="402" t="s">
        <v>34</v>
      </c>
      <c r="C6" s="402" t="s">
        <v>34</v>
      </c>
      <c r="D6" s="402" t="s">
        <v>34</v>
      </c>
      <c r="E6" s="402" t="s">
        <v>34</v>
      </c>
      <c r="F6" s="402" t="s">
        <v>34</v>
      </c>
      <c r="G6" s="402" t="s">
        <v>34</v>
      </c>
      <c r="H6" s="402" t="s">
        <v>34</v>
      </c>
      <c r="I6" s="402" t="s">
        <v>34</v>
      </c>
      <c r="J6" s="402">
        <v>1.0009999999999999</v>
      </c>
      <c r="K6" s="402">
        <v>1.0009999999999999</v>
      </c>
      <c r="L6" s="402">
        <v>1</v>
      </c>
      <c r="M6" s="402">
        <v>1.0009999999999999</v>
      </c>
      <c r="N6" s="402">
        <v>1.0009999999999999</v>
      </c>
      <c r="O6" s="402">
        <v>1</v>
      </c>
      <c r="P6" s="402">
        <v>0.999</v>
      </c>
      <c r="Q6" s="402">
        <v>1</v>
      </c>
      <c r="R6" s="402">
        <v>1</v>
      </c>
      <c r="S6" s="402">
        <v>1.0009999999999999</v>
      </c>
      <c r="T6" s="402">
        <v>1.0009999999999999</v>
      </c>
      <c r="U6" s="402">
        <v>1</v>
      </c>
      <c r="V6" s="402">
        <v>1.0009999999999999</v>
      </c>
      <c r="W6" s="402"/>
    </row>
    <row r="7" spans="1:23">
      <c r="A7" s="213">
        <f t="shared" si="0"/>
        <v>1985</v>
      </c>
      <c r="B7" s="402" t="s">
        <v>34</v>
      </c>
      <c r="C7" s="402" t="s">
        <v>34</v>
      </c>
      <c r="D7" s="402" t="s">
        <v>34</v>
      </c>
      <c r="E7" s="402" t="s">
        <v>34</v>
      </c>
      <c r="F7" s="402" t="s">
        <v>34</v>
      </c>
      <c r="G7" s="402" t="s">
        <v>34</v>
      </c>
      <c r="H7" s="402" t="s">
        <v>34</v>
      </c>
      <c r="I7" s="402">
        <v>1.0009999999999999</v>
      </c>
      <c r="J7" s="402">
        <v>1</v>
      </c>
      <c r="K7" s="402">
        <v>1.0009999999999999</v>
      </c>
      <c r="L7" s="402">
        <v>1.0009999999999999</v>
      </c>
      <c r="M7" s="402">
        <v>1.0009999999999999</v>
      </c>
      <c r="N7" s="402">
        <v>1.0009999999999999</v>
      </c>
      <c r="O7" s="402">
        <v>1</v>
      </c>
      <c r="P7" s="402">
        <v>1</v>
      </c>
      <c r="Q7" s="402">
        <v>1</v>
      </c>
      <c r="R7" s="402">
        <v>1</v>
      </c>
      <c r="S7" s="402">
        <v>1</v>
      </c>
      <c r="T7" s="402">
        <v>1</v>
      </c>
      <c r="U7" s="402">
        <v>1</v>
      </c>
      <c r="V7" s="402">
        <v>1</v>
      </c>
      <c r="W7" s="402"/>
    </row>
    <row r="8" spans="1:23">
      <c r="A8" s="213">
        <f t="shared" si="0"/>
        <v>1986</v>
      </c>
      <c r="B8" s="402" t="s">
        <v>34</v>
      </c>
      <c r="C8" s="402" t="s">
        <v>34</v>
      </c>
      <c r="D8" s="402" t="s">
        <v>34</v>
      </c>
      <c r="E8" s="402" t="s">
        <v>34</v>
      </c>
      <c r="F8" s="402" t="s">
        <v>34</v>
      </c>
      <c r="G8" s="402" t="s">
        <v>34</v>
      </c>
      <c r="H8" s="402">
        <v>1.0009999999999999</v>
      </c>
      <c r="I8" s="402">
        <v>1</v>
      </c>
      <c r="J8" s="402">
        <v>1.0009999999999999</v>
      </c>
      <c r="K8" s="402">
        <v>1.002</v>
      </c>
      <c r="L8" s="402">
        <v>1.0009999999999999</v>
      </c>
      <c r="M8" s="402">
        <v>1</v>
      </c>
      <c r="N8" s="402">
        <v>0.999</v>
      </c>
      <c r="O8" s="402">
        <v>1</v>
      </c>
      <c r="P8" s="402">
        <v>1</v>
      </c>
      <c r="Q8" s="402">
        <v>1</v>
      </c>
      <c r="R8" s="402">
        <v>1</v>
      </c>
      <c r="S8" s="402">
        <v>1.0009999999999999</v>
      </c>
      <c r="T8" s="402">
        <v>1</v>
      </c>
      <c r="U8" s="402">
        <v>1</v>
      </c>
      <c r="V8" s="402" t="s">
        <v>34</v>
      </c>
      <c r="W8" s="402"/>
    </row>
    <row r="9" spans="1:23">
      <c r="A9" s="213">
        <f t="shared" si="0"/>
        <v>1987</v>
      </c>
      <c r="B9" s="402" t="s">
        <v>34</v>
      </c>
      <c r="C9" s="402" t="s">
        <v>34</v>
      </c>
      <c r="D9" s="402" t="s">
        <v>34</v>
      </c>
      <c r="E9" s="402" t="s">
        <v>34</v>
      </c>
      <c r="F9" s="402" t="s">
        <v>34</v>
      </c>
      <c r="G9" s="402">
        <v>1</v>
      </c>
      <c r="H9" s="402">
        <v>1</v>
      </c>
      <c r="I9" s="402">
        <v>1.0009999999999999</v>
      </c>
      <c r="J9" s="402">
        <v>1.002</v>
      </c>
      <c r="K9" s="402">
        <v>1</v>
      </c>
      <c r="L9" s="402">
        <v>1.0009999999999999</v>
      </c>
      <c r="M9" s="402">
        <v>1.0009999999999999</v>
      </c>
      <c r="N9" s="402">
        <v>1.0009999999999999</v>
      </c>
      <c r="O9" s="402">
        <v>1.0009999999999999</v>
      </c>
      <c r="P9" s="402">
        <v>1.0009999999999999</v>
      </c>
      <c r="Q9" s="402">
        <v>1</v>
      </c>
      <c r="R9" s="402">
        <v>1.0009999999999999</v>
      </c>
      <c r="S9" s="402">
        <v>1</v>
      </c>
      <c r="T9" s="402">
        <v>1</v>
      </c>
      <c r="U9" s="402" t="s">
        <v>34</v>
      </c>
      <c r="V9" s="402" t="s">
        <v>34</v>
      </c>
      <c r="W9" s="402"/>
    </row>
    <row r="10" spans="1:23">
      <c r="A10" s="213">
        <f t="shared" si="0"/>
        <v>1988</v>
      </c>
      <c r="B10" s="402" t="s">
        <v>34</v>
      </c>
      <c r="C10" s="402" t="s">
        <v>34</v>
      </c>
      <c r="D10" s="402" t="s">
        <v>34</v>
      </c>
      <c r="E10" s="402" t="s">
        <v>34</v>
      </c>
      <c r="F10" s="402">
        <v>1</v>
      </c>
      <c r="G10" s="402">
        <v>1.0009999999999999</v>
      </c>
      <c r="H10" s="402">
        <v>1.002</v>
      </c>
      <c r="I10" s="402">
        <v>1.0009999999999999</v>
      </c>
      <c r="J10" s="402">
        <v>1</v>
      </c>
      <c r="K10" s="402">
        <v>1</v>
      </c>
      <c r="L10" s="402">
        <v>1</v>
      </c>
      <c r="M10" s="402">
        <v>1</v>
      </c>
      <c r="N10" s="402">
        <v>1</v>
      </c>
      <c r="O10" s="402">
        <v>1</v>
      </c>
      <c r="P10" s="402">
        <v>1.0009999999999999</v>
      </c>
      <c r="Q10" s="402">
        <v>1.0009999999999999</v>
      </c>
      <c r="R10" s="402">
        <v>1</v>
      </c>
      <c r="S10" s="402">
        <v>1</v>
      </c>
      <c r="T10" s="402" t="s">
        <v>34</v>
      </c>
      <c r="U10" s="402" t="s">
        <v>34</v>
      </c>
      <c r="V10" s="402" t="s">
        <v>34</v>
      </c>
      <c r="W10" s="402"/>
    </row>
    <row r="11" spans="1:23">
      <c r="A11" s="213">
        <f t="shared" si="0"/>
        <v>1989</v>
      </c>
      <c r="B11" s="402" t="s">
        <v>34</v>
      </c>
      <c r="C11" s="402" t="s">
        <v>34</v>
      </c>
      <c r="D11" s="402" t="s">
        <v>34</v>
      </c>
      <c r="E11" s="402">
        <v>1.0009999999999999</v>
      </c>
      <c r="F11" s="402">
        <v>1</v>
      </c>
      <c r="G11" s="402">
        <v>1.0009999999999999</v>
      </c>
      <c r="H11" s="402">
        <v>1</v>
      </c>
      <c r="I11" s="402">
        <v>1</v>
      </c>
      <c r="J11" s="402">
        <v>1</v>
      </c>
      <c r="K11" s="402">
        <v>1.0009999999999999</v>
      </c>
      <c r="L11" s="402">
        <v>1</v>
      </c>
      <c r="M11" s="402">
        <v>1</v>
      </c>
      <c r="N11" s="402">
        <v>1</v>
      </c>
      <c r="O11" s="402">
        <v>1</v>
      </c>
      <c r="P11" s="402">
        <v>1</v>
      </c>
      <c r="Q11" s="402">
        <v>1</v>
      </c>
      <c r="R11" s="402">
        <v>1</v>
      </c>
      <c r="S11" s="402" t="s">
        <v>34</v>
      </c>
      <c r="T11" s="402" t="s">
        <v>34</v>
      </c>
      <c r="U11" s="402" t="s">
        <v>34</v>
      </c>
      <c r="V11" s="402" t="s">
        <v>34</v>
      </c>
      <c r="W11" s="402"/>
    </row>
    <row r="12" spans="1:23">
      <c r="A12" s="213">
        <f t="shared" si="0"/>
        <v>1990</v>
      </c>
      <c r="B12" s="402" t="s">
        <v>34</v>
      </c>
      <c r="C12" s="402" t="s">
        <v>34</v>
      </c>
      <c r="D12" s="402">
        <v>1</v>
      </c>
      <c r="E12" s="402">
        <v>0.999</v>
      </c>
      <c r="F12" s="402">
        <v>1.0009999999999999</v>
      </c>
      <c r="G12" s="402">
        <v>1</v>
      </c>
      <c r="H12" s="402">
        <v>1</v>
      </c>
      <c r="I12" s="402">
        <v>1</v>
      </c>
      <c r="J12" s="402">
        <v>1</v>
      </c>
      <c r="K12" s="402">
        <v>1</v>
      </c>
      <c r="L12" s="402">
        <v>1</v>
      </c>
      <c r="M12" s="402">
        <v>1.0009999999999999</v>
      </c>
      <c r="N12" s="402">
        <v>1</v>
      </c>
      <c r="O12" s="402">
        <v>1.0009999999999999</v>
      </c>
      <c r="P12" s="402">
        <v>1</v>
      </c>
      <c r="Q12" s="402">
        <v>1</v>
      </c>
      <c r="R12" s="402" t="s">
        <v>34</v>
      </c>
      <c r="S12" s="402" t="s">
        <v>34</v>
      </c>
      <c r="T12" s="402" t="s">
        <v>34</v>
      </c>
      <c r="U12" s="402" t="s">
        <v>34</v>
      </c>
      <c r="V12" s="402" t="s">
        <v>34</v>
      </c>
      <c r="W12" s="402"/>
    </row>
    <row r="13" spans="1:23">
      <c r="A13" s="213">
        <f t="shared" si="0"/>
        <v>1991</v>
      </c>
      <c r="B13" s="402" t="s">
        <v>34</v>
      </c>
      <c r="C13" s="402">
        <v>1.0009999999999999</v>
      </c>
      <c r="D13" s="402">
        <v>1.0009999999999999</v>
      </c>
      <c r="E13" s="402">
        <v>1</v>
      </c>
      <c r="F13" s="402">
        <v>1</v>
      </c>
      <c r="G13" s="402">
        <v>1</v>
      </c>
      <c r="H13" s="402">
        <v>1</v>
      </c>
      <c r="I13" s="402">
        <v>1</v>
      </c>
      <c r="J13" s="402">
        <v>1</v>
      </c>
      <c r="K13" s="402">
        <v>1</v>
      </c>
      <c r="L13" s="402">
        <v>1</v>
      </c>
      <c r="M13" s="402">
        <v>1.0009999999999999</v>
      </c>
      <c r="N13" s="402">
        <v>1.0009999999999999</v>
      </c>
      <c r="O13" s="402">
        <v>1.0009999999999999</v>
      </c>
      <c r="P13" s="402">
        <v>1</v>
      </c>
      <c r="Q13" s="402" t="s">
        <v>34</v>
      </c>
      <c r="R13" s="402" t="s">
        <v>34</v>
      </c>
      <c r="S13" s="402" t="s">
        <v>34</v>
      </c>
      <c r="T13" s="402" t="s">
        <v>34</v>
      </c>
      <c r="U13" s="402" t="s">
        <v>34</v>
      </c>
      <c r="V13" s="402" t="s">
        <v>34</v>
      </c>
      <c r="W13" s="402"/>
    </row>
    <row r="14" spans="1:23">
      <c r="A14" s="213">
        <f t="shared" si="0"/>
        <v>1992</v>
      </c>
      <c r="B14" s="402">
        <v>0.998</v>
      </c>
      <c r="C14" s="402">
        <v>1.0009999999999999</v>
      </c>
      <c r="D14" s="402">
        <v>1.0009999999999999</v>
      </c>
      <c r="E14" s="402">
        <v>1</v>
      </c>
      <c r="F14" s="402">
        <v>1.0009999999999999</v>
      </c>
      <c r="G14" s="402">
        <v>1.0009999999999999</v>
      </c>
      <c r="H14" s="402">
        <v>1</v>
      </c>
      <c r="I14" s="402">
        <v>1</v>
      </c>
      <c r="J14" s="402">
        <v>1</v>
      </c>
      <c r="K14" s="402">
        <v>1</v>
      </c>
      <c r="L14" s="402">
        <v>1.0009999999999999</v>
      </c>
      <c r="M14" s="402">
        <v>1.0009999999999999</v>
      </c>
      <c r="N14" s="402">
        <v>1</v>
      </c>
      <c r="O14" s="402">
        <v>1</v>
      </c>
      <c r="P14" s="402" t="s">
        <v>34</v>
      </c>
      <c r="Q14" s="402" t="s">
        <v>34</v>
      </c>
      <c r="R14" s="402" t="s">
        <v>34</v>
      </c>
      <c r="S14" s="402" t="s">
        <v>34</v>
      </c>
      <c r="T14" s="402" t="s">
        <v>34</v>
      </c>
      <c r="U14" s="402" t="s">
        <v>34</v>
      </c>
      <c r="V14" s="402" t="s">
        <v>34</v>
      </c>
      <c r="W14" s="402"/>
    </row>
    <row r="15" spans="1:23">
      <c r="A15" s="213">
        <f t="shared" si="0"/>
        <v>1993</v>
      </c>
      <c r="B15" s="402">
        <v>0.999</v>
      </c>
      <c r="C15" s="402">
        <v>1.0009999999999999</v>
      </c>
      <c r="D15" s="402">
        <v>1.0009999999999999</v>
      </c>
      <c r="E15" s="402">
        <v>1.0009999999999999</v>
      </c>
      <c r="F15" s="402">
        <v>1.0009999999999999</v>
      </c>
      <c r="G15" s="402">
        <v>1</v>
      </c>
      <c r="H15" s="402">
        <v>1</v>
      </c>
      <c r="I15" s="402">
        <v>1</v>
      </c>
      <c r="J15" s="402">
        <v>1</v>
      </c>
      <c r="K15" s="402">
        <v>1.0009999999999999</v>
      </c>
      <c r="L15" s="402">
        <v>1</v>
      </c>
      <c r="M15" s="402">
        <v>1.0009999999999999</v>
      </c>
      <c r="N15" s="402">
        <v>0.999</v>
      </c>
      <c r="O15" s="402" t="s">
        <v>34</v>
      </c>
      <c r="P15" s="402" t="s">
        <v>34</v>
      </c>
      <c r="Q15" s="402" t="s">
        <v>34</v>
      </c>
      <c r="R15" s="402" t="s">
        <v>34</v>
      </c>
      <c r="S15" s="402" t="s">
        <v>34</v>
      </c>
      <c r="T15" s="402" t="s">
        <v>34</v>
      </c>
      <c r="U15" s="402" t="s">
        <v>34</v>
      </c>
      <c r="V15" s="402" t="s">
        <v>34</v>
      </c>
      <c r="W15" s="402"/>
    </row>
    <row r="16" spans="1:23" ht="12.75" customHeight="1">
      <c r="A16" s="213">
        <f t="shared" si="0"/>
        <v>1994</v>
      </c>
      <c r="B16" s="402">
        <v>1.0009999999999999</v>
      </c>
      <c r="C16" s="402">
        <v>1.0009999999999999</v>
      </c>
      <c r="D16" s="402">
        <v>1.002</v>
      </c>
      <c r="E16" s="402">
        <v>1</v>
      </c>
      <c r="F16" s="402">
        <v>1.0009999999999999</v>
      </c>
      <c r="G16" s="402">
        <v>1.0009999999999999</v>
      </c>
      <c r="H16" s="402">
        <v>0.999</v>
      </c>
      <c r="I16" s="402">
        <v>1.0009999999999999</v>
      </c>
      <c r="J16" s="402">
        <v>1.0009999999999999</v>
      </c>
      <c r="K16" s="402">
        <v>1.0009999999999999</v>
      </c>
      <c r="L16" s="402">
        <v>1</v>
      </c>
      <c r="M16" s="402">
        <v>1</v>
      </c>
      <c r="N16" s="402" t="s">
        <v>34</v>
      </c>
      <c r="O16" s="402" t="s">
        <v>34</v>
      </c>
      <c r="P16" s="402" t="s">
        <v>34</v>
      </c>
      <c r="Q16" s="402" t="s">
        <v>34</v>
      </c>
      <c r="R16" s="402" t="s">
        <v>34</v>
      </c>
      <c r="S16" s="402" t="s">
        <v>34</v>
      </c>
      <c r="T16" s="402" t="s">
        <v>34</v>
      </c>
      <c r="U16" s="402" t="s">
        <v>34</v>
      </c>
      <c r="V16" s="402" t="s">
        <v>34</v>
      </c>
      <c r="W16" s="402"/>
    </row>
    <row r="17" spans="1:23" ht="12.75" customHeight="1">
      <c r="A17" s="213">
        <f t="shared" si="0"/>
        <v>1995</v>
      </c>
      <c r="B17" s="402">
        <v>1.0029999999999999</v>
      </c>
      <c r="C17" s="402">
        <v>1.0009999999999999</v>
      </c>
      <c r="D17" s="402">
        <v>0.998</v>
      </c>
      <c r="E17" s="402">
        <v>1.0009999999999999</v>
      </c>
      <c r="F17" s="402">
        <v>1</v>
      </c>
      <c r="G17" s="402">
        <v>1.0009999999999999</v>
      </c>
      <c r="H17" s="402">
        <v>1</v>
      </c>
      <c r="I17" s="402">
        <v>1.0009999999999999</v>
      </c>
      <c r="J17" s="402">
        <v>1.0009999999999999</v>
      </c>
      <c r="K17" s="402">
        <v>1</v>
      </c>
      <c r="L17" s="402">
        <v>1.0009999999999999</v>
      </c>
      <c r="M17" s="402" t="s">
        <v>34</v>
      </c>
      <c r="N17" s="402" t="s">
        <v>34</v>
      </c>
      <c r="O17" s="402" t="s">
        <v>34</v>
      </c>
      <c r="P17" s="402" t="s">
        <v>34</v>
      </c>
      <c r="Q17" s="402" t="s">
        <v>34</v>
      </c>
      <c r="R17" s="402" t="s">
        <v>34</v>
      </c>
      <c r="S17" s="402" t="s">
        <v>34</v>
      </c>
      <c r="T17" s="402" t="s">
        <v>34</v>
      </c>
      <c r="U17" s="402" t="s">
        <v>34</v>
      </c>
      <c r="V17" s="402" t="s">
        <v>34</v>
      </c>
      <c r="W17" s="402"/>
    </row>
    <row r="18" spans="1:23" ht="12.75" customHeight="1">
      <c r="A18" s="213">
        <f t="shared" si="0"/>
        <v>1996</v>
      </c>
      <c r="B18" s="402">
        <v>1.0029999999999999</v>
      </c>
      <c r="C18" s="402">
        <v>1</v>
      </c>
      <c r="D18" s="402">
        <v>1</v>
      </c>
      <c r="E18" s="402">
        <v>1</v>
      </c>
      <c r="F18" s="402">
        <v>1.0009999999999999</v>
      </c>
      <c r="G18" s="402">
        <v>1.0009999999999999</v>
      </c>
      <c r="H18" s="402">
        <v>1.002</v>
      </c>
      <c r="I18" s="402">
        <v>1.0009999999999999</v>
      </c>
      <c r="J18" s="402">
        <v>1.0009999999999999</v>
      </c>
      <c r="K18" s="402">
        <v>1</v>
      </c>
      <c r="L18" s="402" t="s">
        <v>34</v>
      </c>
      <c r="M18" s="402" t="s">
        <v>34</v>
      </c>
      <c r="N18" s="402" t="s">
        <v>34</v>
      </c>
      <c r="O18" s="402" t="s">
        <v>34</v>
      </c>
      <c r="P18" s="402" t="s">
        <v>34</v>
      </c>
      <c r="Q18" s="402" t="s">
        <v>34</v>
      </c>
      <c r="R18" s="402" t="s">
        <v>34</v>
      </c>
      <c r="S18" s="402" t="s">
        <v>34</v>
      </c>
      <c r="T18" s="402" t="s">
        <v>34</v>
      </c>
      <c r="U18" s="402" t="s">
        <v>34</v>
      </c>
      <c r="V18" s="402" t="s">
        <v>34</v>
      </c>
      <c r="W18" s="402"/>
    </row>
    <row r="19" spans="1:23" ht="12.75" customHeight="1">
      <c r="A19" s="213">
        <f t="shared" si="0"/>
        <v>1997</v>
      </c>
      <c r="B19" s="402">
        <v>1</v>
      </c>
      <c r="C19" s="402">
        <v>1</v>
      </c>
      <c r="D19" s="402">
        <v>1</v>
      </c>
      <c r="E19" s="402">
        <v>1</v>
      </c>
      <c r="F19" s="402">
        <v>1.0009999999999999</v>
      </c>
      <c r="G19" s="402">
        <v>1.0009999999999999</v>
      </c>
      <c r="H19" s="402">
        <v>1.0009999999999999</v>
      </c>
      <c r="I19" s="402">
        <v>1</v>
      </c>
      <c r="J19" s="402">
        <v>1</v>
      </c>
      <c r="K19" s="402" t="s">
        <v>34</v>
      </c>
      <c r="L19" s="402" t="s">
        <v>34</v>
      </c>
      <c r="M19" s="402" t="s">
        <v>34</v>
      </c>
      <c r="N19" s="402" t="s">
        <v>34</v>
      </c>
      <c r="O19" s="402" t="s">
        <v>34</v>
      </c>
      <c r="P19" s="402" t="s">
        <v>34</v>
      </c>
      <c r="Q19" s="402" t="s">
        <v>34</v>
      </c>
      <c r="R19" s="402" t="s">
        <v>34</v>
      </c>
      <c r="S19" s="402" t="s">
        <v>34</v>
      </c>
      <c r="T19" s="402" t="s">
        <v>34</v>
      </c>
      <c r="U19" s="402" t="s">
        <v>34</v>
      </c>
      <c r="V19" s="402" t="s">
        <v>34</v>
      </c>
      <c r="W19" s="402"/>
    </row>
    <row r="20" spans="1:23" ht="12.75" customHeight="1">
      <c r="A20" s="213">
        <f t="shared" si="0"/>
        <v>1998</v>
      </c>
      <c r="B20" s="402">
        <v>1.0029999999999999</v>
      </c>
      <c r="C20" s="402">
        <v>1.0009999999999999</v>
      </c>
      <c r="D20" s="402">
        <v>1.0009999999999999</v>
      </c>
      <c r="E20" s="402">
        <v>1</v>
      </c>
      <c r="F20" s="402">
        <v>1.0009999999999999</v>
      </c>
      <c r="G20" s="402">
        <v>1.0009999999999999</v>
      </c>
      <c r="H20" s="402">
        <v>1.0009999999999999</v>
      </c>
      <c r="I20" s="402">
        <v>1</v>
      </c>
      <c r="J20" s="402" t="s">
        <v>34</v>
      </c>
      <c r="K20" s="402" t="s">
        <v>34</v>
      </c>
      <c r="L20" s="402" t="s">
        <v>34</v>
      </c>
      <c r="M20" s="402" t="s">
        <v>34</v>
      </c>
      <c r="N20" s="402" t="s">
        <v>34</v>
      </c>
      <c r="O20" s="402" t="s">
        <v>34</v>
      </c>
      <c r="P20" s="402" t="s">
        <v>34</v>
      </c>
      <c r="Q20" s="402" t="s">
        <v>34</v>
      </c>
      <c r="R20" s="402" t="s">
        <v>34</v>
      </c>
      <c r="S20" s="402" t="s">
        <v>34</v>
      </c>
      <c r="T20" s="402" t="s">
        <v>34</v>
      </c>
      <c r="U20" s="402" t="s">
        <v>34</v>
      </c>
      <c r="V20" s="402" t="s">
        <v>34</v>
      </c>
      <c r="W20" s="402"/>
    </row>
    <row r="21" spans="1:23" ht="12.75" customHeight="1">
      <c r="A21" s="213">
        <f t="shared" si="0"/>
        <v>1999</v>
      </c>
      <c r="B21" s="402">
        <v>1</v>
      </c>
      <c r="C21" s="402">
        <v>1</v>
      </c>
      <c r="D21" s="402">
        <v>1.002</v>
      </c>
      <c r="E21" s="402">
        <v>1.002</v>
      </c>
      <c r="F21" s="402">
        <v>1</v>
      </c>
      <c r="G21" s="402">
        <v>1</v>
      </c>
      <c r="H21" s="402">
        <v>1</v>
      </c>
      <c r="I21" s="402" t="s">
        <v>34</v>
      </c>
      <c r="J21" s="402" t="s">
        <v>34</v>
      </c>
      <c r="K21" s="402" t="s">
        <v>34</v>
      </c>
      <c r="L21" s="402" t="s">
        <v>34</v>
      </c>
      <c r="M21" s="402" t="s">
        <v>34</v>
      </c>
      <c r="N21" s="402" t="s">
        <v>34</v>
      </c>
      <c r="O21" s="402" t="s">
        <v>34</v>
      </c>
      <c r="P21" s="402" t="s">
        <v>34</v>
      </c>
      <c r="Q21" s="402" t="s">
        <v>34</v>
      </c>
      <c r="R21" s="402" t="s">
        <v>34</v>
      </c>
      <c r="S21" s="402" t="s">
        <v>34</v>
      </c>
      <c r="T21" s="402" t="s">
        <v>34</v>
      </c>
      <c r="U21" s="402" t="s">
        <v>34</v>
      </c>
      <c r="V21" s="402" t="s">
        <v>34</v>
      </c>
      <c r="W21" s="402"/>
    </row>
    <row r="22" spans="1:23" ht="12.75" customHeight="1">
      <c r="A22" s="213">
        <f t="shared" si="0"/>
        <v>2000</v>
      </c>
      <c r="B22" s="402">
        <v>1.002</v>
      </c>
      <c r="C22" s="402">
        <v>1.0009999999999999</v>
      </c>
      <c r="D22" s="402">
        <v>1.0009999999999999</v>
      </c>
      <c r="E22" s="402">
        <v>1.002</v>
      </c>
      <c r="F22" s="402">
        <v>1</v>
      </c>
      <c r="G22" s="402">
        <v>1</v>
      </c>
      <c r="H22" s="402" t="s">
        <v>34</v>
      </c>
      <c r="I22" s="402" t="s">
        <v>34</v>
      </c>
      <c r="J22" s="402" t="s">
        <v>34</v>
      </c>
      <c r="K22" s="402" t="s">
        <v>34</v>
      </c>
      <c r="L22" s="402" t="s">
        <v>34</v>
      </c>
      <c r="M22" s="402" t="s">
        <v>34</v>
      </c>
      <c r="N22" s="402" t="s">
        <v>34</v>
      </c>
      <c r="O22" s="402" t="s">
        <v>34</v>
      </c>
      <c r="P22" s="402" t="s">
        <v>34</v>
      </c>
      <c r="Q22" s="402" t="s">
        <v>34</v>
      </c>
      <c r="R22" s="402" t="s">
        <v>34</v>
      </c>
      <c r="S22" s="402" t="s">
        <v>34</v>
      </c>
      <c r="T22" s="402" t="s">
        <v>34</v>
      </c>
      <c r="U22" s="402" t="s">
        <v>34</v>
      </c>
      <c r="V22" s="402" t="s">
        <v>34</v>
      </c>
      <c r="W22" s="402"/>
    </row>
    <row r="23" spans="1:23" ht="12.75" customHeight="1">
      <c r="A23" s="213">
        <f t="shared" si="0"/>
        <v>2001</v>
      </c>
      <c r="B23" s="402">
        <v>1.0009999999999999</v>
      </c>
      <c r="C23" s="402">
        <v>1.002</v>
      </c>
      <c r="D23" s="402">
        <v>1.0009999999999999</v>
      </c>
      <c r="E23" s="402">
        <v>1.0009999999999999</v>
      </c>
      <c r="F23" s="402">
        <v>1</v>
      </c>
      <c r="G23" s="402" t="s">
        <v>34</v>
      </c>
      <c r="H23" s="402" t="s">
        <v>34</v>
      </c>
      <c r="I23" s="402" t="s">
        <v>34</v>
      </c>
      <c r="J23" s="402" t="s">
        <v>34</v>
      </c>
      <c r="K23" s="402" t="s">
        <v>34</v>
      </c>
      <c r="L23" s="402" t="s">
        <v>34</v>
      </c>
      <c r="M23" s="402" t="s">
        <v>34</v>
      </c>
      <c r="N23" s="402" t="s">
        <v>34</v>
      </c>
      <c r="O23" s="402" t="s">
        <v>34</v>
      </c>
      <c r="P23" s="402" t="s">
        <v>34</v>
      </c>
      <c r="Q23" s="402" t="s">
        <v>34</v>
      </c>
      <c r="R23" s="402" t="s">
        <v>34</v>
      </c>
      <c r="S23" s="402" t="s">
        <v>34</v>
      </c>
      <c r="T23" s="402" t="s">
        <v>34</v>
      </c>
      <c r="U23" s="402" t="s">
        <v>34</v>
      </c>
      <c r="V23" s="402" t="s">
        <v>34</v>
      </c>
      <c r="W23" s="402"/>
    </row>
    <row r="24" spans="1:23" ht="12.75" customHeight="1">
      <c r="A24" s="213">
        <f t="shared" si="0"/>
        <v>2002</v>
      </c>
      <c r="B24" s="402">
        <v>1.0009999999999999</v>
      </c>
      <c r="C24" s="402">
        <v>1.0029999999999999</v>
      </c>
      <c r="D24" s="402">
        <v>1.0009999999999999</v>
      </c>
      <c r="E24" s="402">
        <v>1</v>
      </c>
      <c r="F24" s="402" t="s">
        <v>34</v>
      </c>
      <c r="G24" s="402" t="s">
        <v>34</v>
      </c>
      <c r="H24" s="402" t="s">
        <v>34</v>
      </c>
      <c r="I24" s="402" t="s">
        <v>34</v>
      </c>
      <c r="J24" s="402" t="s">
        <v>34</v>
      </c>
      <c r="K24" s="402" t="s">
        <v>34</v>
      </c>
      <c r="L24" s="402" t="s">
        <v>34</v>
      </c>
      <c r="M24" s="402" t="s">
        <v>34</v>
      </c>
      <c r="N24" s="402" t="s">
        <v>34</v>
      </c>
      <c r="O24" s="402" t="s">
        <v>34</v>
      </c>
      <c r="P24" s="402" t="s">
        <v>34</v>
      </c>
      <c r="Q24" s="402" t="s">
        <v>34</v>
      </c>
      <c r="R24" s="402" t="s">
        <v>34</v>
      </c>
      <c r="S24" s="402" t="s">
        <v>34</v>
      </c>
      <c r="T24" s="402" t="s">
        <v>34</v>
      </c>
      <c r="U24" s="402" t="s">
        <v>34</v>
      </c>
      <c r="V24" s="402" t="s">
        <v>34</v>
      </c>
      <c r="W24" s="402"/>
    </row>
    <row r="25" spans="1:23" ht="12.75" customHeight="1">
      <c r="A25" s="213">
        <f t="shared" si="0"/>
        <v>2003</v>
      </c>
      <c r="B25" s="402">
        <v>1.002</v>
      </c>
      <c r="C25" s="402">
        <v>1.002</v>
      </c>
      <c r="D25" s="402">
        <v>1.0029999999999999</v>
      </c>
      <c r="E25" s="402" t="s">
        <v>34</v>
      </c>
      <c r="F25" s="402" t="s">
        <v>34</v>
      </c>
      <c r="G25" s="402" t="s">
        <v>34</v>
      </c>
      <c r="H25" s="402" t="s">
        <v>34</v>
      </c>
      <c r="I25" s="402" t="s">
        <v>34</v>
      </c>
      <c r="J25" s="402" t="s">
        <v>34</v>
      </c>
      <c r="K25" s="402" t="s">
        <v>34</v>
      </c>
      <c r="L25" s="402" t="s">
        <v>34</v>
      </c>
      <c r="M25" s="402" t="s">
        <v>34</v>
      </c>
      <c r="N25" s="402" t="s">
        <v>34</v>
      </c>
      <c r="O25" s="402" t="s">
        <v>34</v>
      </c>
      <c r="P25" s="402" t="s">
        <v>34</v>
      </c>
      <c r="Q25" s="402" t="s">
        <v>34</v>
      </c>
      <c r="R25" s="402" t="s">
        <v>34</v>
      </c>
      <c r="S25" s="402" t="s">
        <v>34</v>
      </c>
      <c r="T25" s="402" t="s">
        <v>34</v>
      </c>
      <c r="U25" s="402" t="s">
        <v>34</v>
      </c>
      <c r="V25" s="402" t="s">
        <v>34</v>
      </c>
      <c r="W25" s="402"/>
    </row>
    <row r="26" spans="1:23" ht="12.75" customHeight="1">
      <c r="A26" s="213">
        <f t="shared" si="0"/>
        <v>2004</v>
      </c>
      <c r="B26" s="402">
        <v>1.0009999999999999</v>
      </c>
      <c r="C26" s="402">
        <v>1.0009999999999999</v>
      </c>
      <c r="D26" s="402" t="s">
        <v>34</v>
      </c>
      <c r="E26" s="402" t="s">
        <v>34</v>
      </c>
      <c r="F26" s="402" t="s">
        <v>34</v>
      </c>
      <c r="G26" s="402" t="s">
        <v>34</v>
      </c>
      <c r="H26" s="402" t="s">
        <v>34</v>
      </c>
      <c r="I26" s="402" t="s">
        <v>34</v>
      </c>
      <c r="J26" s="402" t="s">
        <v>34</v>
      </c>
      <c r="K26" s="402" t="s">
        <v>34</v>
      </c>
      <c r="L26" s="402" t="s">
        <v>34</v>
      </c>
      <c r="M26" s="402" t="s">
        <v>34</v>
      </c>
      <c r="N26" s="402" t="s">
        <v>34</v>
      </c>
      <c r="O26" s="402" t="s">
        <v>34</v>
      </c>
      <c r="P26" s="402" t="s">
        <v>34</v>
      </c>
      <c r="Q26" s="402" t="s">
        <v>34</v>
      </c>
      <c r="R26" s="402" t="s">
        <v>34</v>
      </c>
      <c r="S26" s="402" t="s">
        <v>34</v>
      </c>
      <c r="T26" s="402" t="s">
        <v>34</v>
      </c>
      <c r="U26" s="402" t="s">
        <v>34</v>
      </c>
      <c r="V26" s="402" t="s">
        <v>34</v>
      </c>
      <c r="W26" s="402"/>
    </row>
    <row r="27" spans="1:23" ht="12.75" customHeight="1">
      <c r="A27" s="213">
        <f>'Exhibit 2.1.1'!A14</f>
        <v>2005</v>
      </c>
      <c r="B27" s="402">
        <v>1.0029999999999999</v>
      </c>
      <c r="C27" s="402" t="s">
        <v>34</v>
      </c>
      <c r="D27" s="402" t="s">
        <v>34</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c r="R27" s="402" t="s">
        <v>34</v>
      </c>
      <c r="S27" s="402" t="s">
        <v>34</v>
      </c>
      <c r="T27" s="402" t="s">
        <v>34</v>
      </c>
      <c r="U27" s="402" t="s">
        <v>34</v>
      </c>
      <c r="V27" s="402" t="s">
        <v>34</v>
      </c>
      <c r="W27" s="402"/>
    </row>
    <row r="28" spans="1:23">
      <c r="A28" s="343"/>
      <c r="B28" s="215"/>
      <c r="C28" s="215"/>
      <c r="D28" s="215"/>
      <c r="E28" s="215"/>
      <c r="F28" s="215"/>
      <c r="G28" s="215"/>
      <c r="H28" s="215"/>
      <c r="I28" s="215"/>
      <c r="J28" s="215"/>
      <c r="K28" s="215"/>
      <c r="L28" s="215"/>
      <c r="M28" s="215"/>
      <c r="N28" s="215"/>
      <c r="O28" s="215"/>
      <c r="P28" s="215"/>
      <c r="Q28" s="57"/>
      <c r="R28" s="215"/>
      <c r="S28" s="215"/>
      <c r="T28" s="215"/>
      <c r="U28" s="215"/>
      <c r="V28" s="215"/>
    </row>
    <row r="29" spans="1:23">
      <c r="A29" s="343"/>
      <c r="B29" s="215"/>
      <c r="C29" s="215"/>
      <c r="D29" s="215"/>
      <c r="E29" s="215"/>
      <c r="F29" s="215"/>
      <c r="G29" s="215"/>
      <c r="H29" s="215"/>
      <c r="I29" s="215"/>
      <c r="J29" s="215"/>
      <c r="K29" s="215"/>
      <c r="L29" s="215"/>
      <c r="M29" s="215"/>
      <c r="N29" s="215"/>
      <c r="O29" s="215"/>
      <c r="P29" s="215"/>
      <c r="Q29" s="57"/>
      <c r="R29" s="215"/>
      <c r="S29" s="215"/>
      <c r="T29" s="215"/>
      <c r="U29" s="215"/>
      <c r="V29" s="215"/>
    </row>
    <row r="30" spans="1:23">
      <c r="A30" s="217" t="s">
        <v>20</v>
      </c>
      <c r="B30" s="403">
        <f>AVERAGE(B22:B27)</f>
        <v>1.0016666666666667</v>
      </c>
      <c r="C30" s="403">
        <f>AVERAGE(C21:C26)</f>
        <v>1.0015000000000001</v>
      </c>
      <c r="D30" s="403">
        <f>AVERAGE(D20:D25)</f>
        <v>1.0015000000000001</v>
      </c>
      <c r="E30" s="403">
        <f>AVERAGE(E19:E24)</f>
        <v>1.0008333333333332</v>
      </c>
      <c r="F30" s="403">
        <f>AVERAGE(F18:F23)</f>
        <v>1.0004999999999999</v>
      </c>
      <c r="G30" s="403">
        <f>AVERAGE(G17:G22)</f>
        <v>1.0006666666666666</v>
      </c>
      <c r="H30" s="403">
        <f>AVERAGE(H16:H21)</f>
        <v>1.0004999999999999</v>
      </c>
      <c r="I30" s="403">
        <f>AVERAGE(I15:I20)</f>
        <v>1.0004999999999999</v>
      </c>
      <c r="J30" s="403">
        <f>AVERAGE(J14:J19)</f>
        <v>1.0004999999999999</v>
      </c>
      <c r="K30" s="403">
        <f>AVERAGE(K13:K18)</f>
        <v>1.0003333333333333</v>
      </c>
      <c r="L30" s="403">
        <f>AVERAGE(L12:L17)</f>
        <v>1.0003333333333331</v>
      </c>
      <c r="M30" s="403">
        <f>AVERAGE(M11:M16)</f>
        <v>1.0006666666666666</v>
      </c>
      <c r="N30" s="403">
        <f>AVERAGE(N10:N15)</f>
        <v>0.99999999999999989</v>
      </c>
      <c r="O30" s="403">
        <f>AVERAGE(O9:O14)</f>
        <v>1.0004999999999999</v>
      </c>
      <c r="P30" s="403">
        <f>AVERAGE(P8:P13)</f>
        <v>1.0003333333333333</v>
      </c>
      <c r="Q30" s="403">
        <f>AVERAGE(Q7:Q12)</f>
        <v>1.0001666666666666</v>
      </c>
      <c r="R30" s="403">
        <f>AVERAGE(R6:R11)</f>
        <v>1.0001666666666666</v>
      </c>
      <c r="S30" s="403">
        <f>AVERAGE(S5:S10)</f>
        <v>1.0004999999999999</v>
      </c>
      <c r="T30" s="403">
        <f>AVERAGE(T5:T9)</f>
        <v>1.0004</v>
      </c>
      <c r="U30" s="403">
        <f>AVERAGE(U5:U8)</f>
        <v>1.0002499999999999</v>
      </c>
      <c r="V30" s="403">
        <f>AVERAGE(V5:V7)</f>
        <v>1.0006666666666666</v>
      </c>
    </row>
    <row r="31" spans="1:23">
      <c r="A31" s="217" t="s">
        <v>24</v>
      </c>
      <c r="B31" s="403">
        <f t="shared" ref="B31:U31" si="1">C31*B30</f>
        <v>1.0145740264368617</v>
      </c>
      <c r="C31" s="403">
        <f t="shared" si="1"/>
        <v>1.0128858832980316</v>
      </c>
      <c r="D31" s="403">
        <f t="shared" si="1"/>
        <v>1.0113688300529522</v>
      </c>
      <c r="E31" s="403">
        <f t="shared" si="1"/>
        <v>1.0098540489794829</v>
      </c>
      <c r="F31" s="403">
        <f t="shared" si="1"/>
        <v>1.0090132046422811</v>
      </c>
      <c r="G31" s="403">
        <f t="shared" si="1"/>
        <v>1.0085089501671975</v>
      </c>
      <c r="H31" s="403">
        <f t="shared" si="1"/>
        <v>1.0078370587946679</v>
      </c>
      <c r="I31" s="403">
        <f t="shared" si="1"/>
        <v>1.0073333920986187</v>
      </c>
      <c r="J31" s="403">
        <f t="shared" si="1"/>
        <v>1.0068299771100637</v>
      </c>
      <c r="K31" s="403">
        <f t="shared" si="1"/>
        <v>1.0063268137032122</v>
      </c>
      <c r="L31" s="403">
        <f t="shared" si="1"/>
        <v>1.0059914832088093</v>
      </c>
      <c r="M31" s="403">
        <f t="shared" si="1"/>
        <v>1.0056562644539915</v>
      </c>
      <c r="N31" s="403">
        <f t="shared" si="1"/>
        <v>1.0049862736049215</v>
      </c>
      <c r="O31" s="403">
        <f t="shared" si="1"/>
        <v>1.0049862736049218</v>
      </c>
      <c r="P31" s="403">
        <f t="shared" si="1"/>
        <v>1.0044840315891272</v>
      </c>
      <c r="Q31" s="403">
        <f t="shared" si="1"/>
        <v>1.0041493151507437</v>
      </c>
      <c r="R31" s="403">
        <f t="shared" si="1"/>
        <v>1.0039819848199403</v>
      </c>
      <c r="S31" s="403">
        <f t="shared" si="1"/>
        <v>1.0038146823728782</v>
      </c>
      <c r="T31" s="403">
        <f t="shared" si="1"/>
        <v>1.0033130258599483</v>
      </c>
      <c r="U31" s="403">
        <f t="shared" si="1"/>
        <v>1.0029118611155021</v>
      </c>
      <c r="V31" s="403">
        <f>W31*V30</f>
        <v>1.0026611958165481</v>
      </c>
      <c r="W31" s="402">
        <v>1.0019932003496483</v>
      </c>
    </row>
    <row r="32" spans="1:23">
      <c r="A32" s="343"/>
      <c r="B32" s="215"/>
      <c r="C32" s="215"/>
      <c r="D32" s="215"/>
      <c r="E32" s="215"/>
      <c r="F32" s="215"/>
      <c r="G32" s="215"/>
      <c r="H32" s="215"/>
      <c r="I32" s="215"/>
      <c r="J32" s="215"/>
      <c r="K32" s="215"/>
      <c r="L32" s="215"/>
      <c r="M32" s="215"/>
      <c r="N32" s="215"/>
      <c r="O32" s="215"/>
      <c r="P32" s="215"/>
      <c r="Q32" s="215"/>
      <c r="R32" s="215"/>
      <c r="S32" s="215"/>
      <c r="T32" s="215"/>
      <c r="U32" s="215"/>
      <c r="V32" s="215"/>
    </row>
    <row r="33" spans="1:22" ht="15" customHeight="1">
      <c r="A33" s="18" t="s">
        <v>25</v>
      </c>
      <c r="B33" s="506" t="s">
        <v>482</v>
      </c>
      <c r="C33" s="506"/>
      <c r="D33" s="506"/>
      <c r="E33" s="506"/>
      <c r="F33" s="506"/>
      <c r="G33" s="506"/>
      <c r="H33" s="506"/>
      <c r="I33" s="506"/>
      <c r="J33" s="506"/>
      <c r="K33" s="506"/>
      <c r="L33" s="506"/>
      <c r="M33" s="506"/>
      <c r="N33" s="506"/>
      <c r="O33" s="506"/>
      <c r="P33" s="506"/>
      <c r="Q33" s="506"/>
      <c r="R33" s="506"/>
      <c r="S33" s="337"/>
      <c r="T33" s="337"/>
      <c r="U33" s="384"/>
      <c r="V33" s="337"/>
    </row>
    <row r="34" spans="1:22" ht="15" customHeight="1">
      <c r="A34" s="57"/>
      <c r="B34" s="507"/>
      <c r="C34" s="507"/>
      <c r="D34" s="507"/>
      <c r="E34" s="507"/>
      <c r="F34" s="507"/>
      <c r="G34" s="507"/>
      <c r="H34" s="507"/>
      <c r="I34" s="507"/>
      <c r="J34" s="507"/>
      <c r="K34" s="507"/>
      <c r="L34" s="507"/>
      <c r="M34" s="507"/>
      <c r="N34" s="507"/>
      <c r="O34" s="507"/>
      <c r="P34" s="507"/>
      <c r="Q34" s="507"/>
      <c r="R34" s="507"/>
      <c r="S34" s="201"/>
      <c r="T34" s="201"/>
      <c r="U34" s="385"/>
      <c r="V34" s="201"/>
    </row>
  </sheetData>
  <mergeCells count="1">
    <mergeCell ref="B33:R34"/>
  </mergeCells>
  <printOptions horizontalCentered="1"/>
  <pageMargins left="0.7" right="0.7" top="0.75" bottom="0.75" header="0.3" footer="0.3"/>
  <pageSetup scale="64" orientation="landscape" blackAndWhite="1"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S160"/>
  <sheetViews>
    <sheetView zoomScaleNormal="100" zoomScaleSheetLayoutView="115" workbookViewId="0"/>
  </sheetViews>
  <sheetFormatPr defaultColWidth="9.1796875" defaultRowHeight="12.5"/>
  <cols>
    <col min="1" max="11" width="9.1796875" style="104"/>
    <col min="12" max="12" width="4" style="104" customWidth="1"/>
    <col min="13" max="13" width="30.453125" style="104" bestFit="1" customWidth="1"/>
    <col min="14" max="14" width="6.81640625" style="105" customWidth="1"/>
    <col min="15" max="15" width="14.81640625" style="105" bestFit="1" customWidth="1"/>
    <col min="16" max="16" width="14.81640625" style="105" customWidth="1"/>
    <col min="17" max="16384" width="9.1796875" style="104"/>
  </cols>
  <sheetData>
    <row r="1" spans="1:17" ht="13">
      <c r="A1" s="291" t="s">
        <v>465</v>
      </c>
      <c r="B1" s="291"/>
      <c r="C1" s="291"/>
      <c r="D1" s="291"/>
      <c r="E1" s="291"/>
      <c r="F1" s="291"/>
      <c r="G1" s="291"/>
      <c r="H1" s="291"/>
      <c r="I1" s="291"/>
      <c r="J1" s="291"/>
      <c r="K1" s="291"/>
      <c r="L1" s="292"/>
      <c r="M1" s="292"/>
      <c r="N1" s="293" t="s">
        <v>286</v>
      </c>
      <c r="O1" s="294" t="s">
        <v>19</v>
      </c>
      <c r="P1" s="294" t="s">
        <v>322</v>
      </c>
      <c r="Q1" s="294" t="s">
        <v>422</v>
      </c>
    </row>
    <row r="2" spans="1:17" ht="14.5">
      <c r="A2" s="291" t="s">
        <v>550</v>
      </c>
      <c r="B2" s="295"/>
      <c r="C2" s="295"/>
      <c r="D2" s="295"/>
      <c r="E2" s="295"/>
      <c r="F2" s="295"/>
      <c r="G2" s="295"/>
      <c r="H2" s="295"/>
      <c r="I2" s="295"/>
      <c r="J2" s="295"/>
      <c r="K2" s="295"/>
      <c r="L2" s="292"/>
      <c r="M2" s="292"/>
      <c r="N2" s="292">
        <f t="shared" ref="N2:N58" si="0">INT(O2)-O2+1</f>
        <v>1</v>
      </c>
      <c r="O2" s="296">
        <v>1987</v>
      </c>
      <c r="P2" s="297">
        <f>VLOOKUP(INT(O2),'Exhibit 7.1'!$A$1:$I$128,9)*N2+(1-N2)*VLOOKUP(INT(O2)+1,'Exhibit 7.1'!$A$1:$I$128,9)</f>
        <v>0.36526452400101689</v>
      </c>
      <c r="Q2" s="296"/>
    </row>
    <row r="3" spans="1:17">
      <c r="A3" s="292"/>
      <c r="B3" s="292"/>
      <c r="C3" s="292"/>
      <c r="D3" s="292"/>
      <c r="E3" s="292"/>
      <c r="F3" s="292"/>
      <c r="G3" s="292"/>
      <c r="H3" s="292"/>
      <c r="I3" s="292"/>
      <c r="J3" s="292"/>
      <c r="K3" s="292"/>
      <c r="L3" s="292"/>
      <c r="M3" s="292"/>
      <c r="N3" s="292">
        <f t="shared" si="0"/>
        <v>0.75</v>
      </c>
      <c r="O3" s="296">
        <f t="shared" ref="O3:O58" si="1">+O2+0.25</f>
        <v>1987.25</v>
      </c>
      <c r="P3" s="297">
        <f>VLOOKUP(INT(O3),'Exhibit 7.1'!$A$1:$I$128,9)*N3+(1-N3)*VLOOKUP(INT(O3)+1,'Exhibit 7.1'!$A$1:$I$128,9)</f>
        <v>0.37214006317279508</v>
      </c>
      <c r="Q3" s="296"/>
    </row>
    <row r="4" spans="1:17">
      <c r="A4" s="292"/>
      <c r="B4" s="292"/>
      <c r="C4" s="292"/>
      <c r="D4" s="292"/>
      <c r="E4" s="292"/>
      <c r="F4" s="292"/>
      <c r="G4" s="292"/>
      <c r="H4" s="292"/>
      <c r="I4" s="292"/>
      <c r="J4" s="292"/>
      <c r="K4" s="292"/>
      <c r="L4" s="292"/>
      <c r="M4" s="292"/>
      <c r="N4" s="292">
        <f t="shared" si="0"/>
        <v>0.5</v>
      </c>
      <c r="O4" s="296">
        <f t="shared" si="1"/>
        <v>1987.5</v>
      </c>
      <c r="P4" s="297">
        <f>VLOOKUP(INT(O4),'Exhibit 7.1'!$A$1:$I$128,9)*N4+(1-N4)*VLOOKUP(INT(O4)+1,'Exhibit 7.1'!$A$1:$I$128,9)</f>
        <v>0.37901560234457321</v>
      </c>
      <c r="Q4" s="296"/>
    </row>
    <row r="5" spans="1:17">
      <c r="A5" s="292"/>
      <c r="B5" s="292"/>
      <c r="C5" s="292"/>
      <c r="D5" s="292"/>
      <c r="E5" s="292"/>
      <c r="F5" s="292"/>
      <c r="G5" s="292"/>
      <c r="H5" s="292"/>
      <c r="I5" s="292"/>
      <c r="J5" s="292"/>
      <c r="K5" s="292"/>
      <c r="L5" s="292"/>
      <c r="M5" s="292"/>
      <c r="N5" s="292">
        <f t="shared" si="0"/>
        <v>0.25</v>
      </c>
      <c r="O5" s="296">
        <f t="shared" si="1"/>
        <v>1987.75</v>
      </c>
      <c r="P5" s="297">
        <f>VLOOKUP(INT(O5),'Exhibit 7.1'!$A$1:$I$128,9)*N5+(1-N5)*VLOOKUP(INT(O5)+1,'Exhibit 7.1'!$A$1:$I$128,9)</f>
        <v>0.38589114151635134</v>
      </c>
      <c r="Q5" s="296"/>
    </row>
    <row r="6" spans="1:17">
      <c r="A6" s="292"/>
      <c r="B6" s="292"/>
      <c r="C6" s="292"/>
      <c r="D6" s="292"/>
      <c r="E6" s="292"/>
      <c r="F6" s="292"/>
      <c r="G6" s="292"/>
      <c r="H6" s="292"/>
      <c r="I6" s="292"/>
      <c r="J6" s="292"/>
      <c r="K6" s="292"/>
      <c r="L6" s="292"/>
      <c r="M6" s="292"/>
      <c r="N6" s="292">
        <f t="shared" si="0"/>
        <v>1</v>
      </c>
      <c r="O6" s="296">
        <f t="shared" si="1"/>
        <v>1988</v>
      </c>
      <c r="P6" s="297">
        <f>VLOOKUP(INT(O6),'Exhibit 7.1'!$A$1:$I$128,9)*N6+(1-N6)*VLOOKUP(INT(O6)+1,'Exhibit 7.1'!$A$1:$I$128,9)</f>
        <v>0.39276668068812953</v>
      </c>
      <c r="Q6" s="296"/>
    </row>
    <row r="7" spans="1:17">
      <c r="A7" s="292"/>
      <c r="B7" s="292"/>
      <c r="C7" s="292"/>
      <c r="D7" s="292"/>
      <c r="E7" s="292"/>
      <c r="F7" s="292"/>
      <c r="G7" s="292"/>
      <c r="H7" s="292"/>
      <c r="I7" s="292"/>
      <c r="J7" s="292"/>
      <c r="K7" s="292"/>
      <c r="L7" s="292"/>
      <c r="M7" s="292"/>
      <c r="N7" s="292">
        <f t="shared" si="0"/>
        <v>0.75</v>
      </c>
      <c r="O7" s="296">
        <f t="shared" si="1"/>
        <v>1988.25</v>
      </c>
      <c r="P7" s="297">
        <f>VLOOKUP(INT(O7),'Exhibit 7.1'!$A$1:$I$128,9)*N7+(1-N7)*VLOOKUP(INT(O7)+1,'Exhibit 7.1'!$A$1:$I$128,9)</f>
        <v>0.39904610625958092</v>
      </c>
      <c r="Q7" s="296"/>
    </row>
    <row r="8" spans="1:17">
      <c r="A8" s="292"/>
      <c r="B8" s="292"/>
      <c r="C8" s="292"/>
      <c r="D8" s="292"/>
      <c r="E8" s="292"/>
      <c r="F8" s="292"/>
      <c r="G8" s="292"/>
      <c r="H8" s="292"/>
      <c r="I8" s="292"/>
      <c r="J8" s="292"/>
      <c r="K8" s="292"/>
      <c r="L8" s="292"/>
      <c r="M8" s="292"/>
      <c r="N8" s="292">
        <f t="shared" si="0"/>
        <v>0.5</v>
      </c>
      <c r="O8" s="296">
        <f t="shared" si="1"/>
        <v>1988.5</v>
      </c>
      <c r="P8" s="297">
        <f>VLOOKUP(INT(O8),'Exhibit 7.1'!$A$1:$I$128,9)*N8+(1-N8)*VLOOKUP(INT(O8)+1,'Exhibit 7.1'!$A$1:$I$128,9)</f>
        <v>0.40532553183103226</v>
      </c>
      <c r="Q8" s="296"/>
    </row>
    <row r="9" spans="1:17">
      <c r="A9" s="292"/>
      <c r="B9" s="292"/>
      <c r="C9" s="292"/>
      <c r="D9" s="292"/>
      <c r="E9" s="292"/>
      <c r="F9" s="292"/>
      <c r="G9" s="292"/>
      <c r="H9" s="292"/>
      <c r="I9" s="292"/>
      <c r="J9" s="292"/>
      <c r="K9" s="292"/>
      <c r="L9" s="292"/>
      <c r="M9" s="292"/>
      <c r="N9" s="292">
        <f t="shared" si="0"/>
        <v>0.25</v>
      </c>
      <c r="O9" s="296">
        <f t="shared" si="1"/>
        <v>1988.75</v>
      </c>
      <c r="P9" s="297">
        <f>VLOOKUP(INT(O9),'Exhibit 7.1'!$A$1:$I$128,9)*N9+(1-N9)*VLOOKUP(INT(O9)+1,'Exhibit 7.1'!$A$1:$I$128,9)</f>
        <v>0.41160495740248365</v>
      </c>
      <c r="Q9" s="296"/>
    </row>
    <row r="10" spans="1:17">
      <c r="A10" s="292"/>
      <c r="B10" s="292"/>
      <c r="C10" s="292"/>
      <c r="D10" s="292"/>
      <c r="E10" s="292"/>
      <c r="F10" s="292"/>
      <c r="G10" s="292"/>
      <c r="H10" s="292"/>
      <c r="I10" s="292"/>
      <c r="J10" s="292"/>
      <c r="K10" s="292"/>
      <c r="L10" s="292"/>
      <c r="M10" s="292"/>
      <c r="N10" s="292">
        <f t="shared" si="0"/>
        <v>1</v>
      </c>
      <c r="O10" s="296">
        <f t="shared" si="1"/>
        <v>1989</v>
      </c>
      <c r="P10" s="297">
        <f ca="1">VLOOKUP(INT(O10),'Exhibit 7.1'!$A$1:$I$128,9)*N10+(1-N10)*VLOOKUP(INT(O10)+1,'Exhibit 7.1'!$A$1:$I$128,9)</f>
        <v>0.41788438297393504</v>
      </c>
      <c r="Q10" s="296"/>
    </row>
    <row r="11" spans="1:17">
      <c r="A11" s="292"/>
      <c r="B11" s="292"/>
      <c r="C11" s="292"/>
      <c r="D11" s="292"/>
      <c r="E11" s="292"/>
      <c r="F11" s="292"/>
      <c r="G11" s="292"/>
      <c r="H11" s="292"/>
      <c r="I11" s="292"/>
      <c r="J11" s="292"/>
      <c r="K11" s="292"/>
      <c r="L11" s="292"/>
      <c r="M11" s="292"/>
      <c r="N11" s="292">
        <f t="shared" si="0"/>
        <v>0.75</v>
      </c>
      <c r="O11" s="296">
        <f t="shared" si="1"/>
        <v>1989.25</v>
      </c>
      <c r="P11" s="297">
        <f ca="1">VLOOKUP(INT(O11),'Exhibit 7.1'!$A$1:$I$128,9)*N11+(1-N11)*VLOOKUP(INT(O11)+1,'Exhibit 7.1'!$A$1:$I$128,9)</f>
        <v>0.4179191561148935</v>
      </c>
      <c r="Q11" s="296"/>
    </row>
    <row r="12" spans="1:17">
      <c r="A12" s="292"/>
      <c r="B12" s="292"/>
      <c r="C12" s="292"/>
      <c r="D12" s="292"/>
      <c r="E12" s="292"/>
      <c r="F12" s="292"/>
      <c r="G12" s="292"/>
      <c r="H12" s="292"/>
      <c r="I12" s="292"/>
      <c r="J12" s="292"/>
      <c r="K12" s="292"/>
      <c r="L12" s="292"/>
      <c r="M12" s="292"/>
      <c r="N12" s="292">
        <f t="shared" si="0"/>
        <v>0.5</v>
      </c>
      <c r="O12" s="296">
        <f t="shared" si="1"/>
        <v>1989.5</v>
      </c>
      <c r="P12" s="297">
        <f ca="1">VLOOKUP(INT(O12),'Exhibit 7.1'!$A$1:$I$128,9)*N12+(1-N12)*VLOOKUP(INT(O12)+1,'Exhibit 7.1'!$A$1:$I$128,9)</f>
        <v>0.41795392925585195</v>
      </c>
      <c r="Q12" s="296"/>
    </row>
    <row r="13" spans="1:17">
      <c r="A13" s="292"/>
      <c r="B13" s="292"/>
      <c r="C13" s="292"/>
      <c r="D13" s="292"/>
      <c r="E13" s="292"/>
      <c r="F13" s="292"/>
      <c r="G13" s="292"/>
      <c r="H13" s="292"/>
      <c r="I13" s="292"/>
      <c r="J13" s="292"/>
      <c r="K13" s="292"/>
      <c r="L13" s="292"/>
      <c r="M13" s="292"/>
      <c r="N13" s="292">
        <f t="shared" si="0"/>
        <v>0.25</v>
      </c>
      <c r="O13" s="296">
        <f t="shared" si="1"/>
        <v>1989.75</v>
      </c>
      <c r="P13" s="297">
        <f ca="1">VLOOKUP(INT(O13),'Exhibit 7.1'!$A$1:$I$128,9)*N13+(1-N13)*VLOOKUP(INT(O13)+1,'Exhibit 7.1'!$A$1:$I$128,9)</f>
        <v>0.41798870239681041</v>
      </c>
      <c r="Q13" s="296"/>
    </row>
    <row r="14" spans="1:17">
      <c r="A14" s="292"/>
      <c r="B14" s="292"/>
      <c r="C14" s="292"/>
      <c r="D14" s="292"/>
      <c r="E14" s="292"/>
      <c r="F14" s="292"/>
      <c r="G14" s="292"/>
      <c r="H14" s="292"/>
      <c r="I14" s="292"/>
      <c r="J14" s="292"/>
      <c r="K14" s="292"/>
      <c r="L14" s="292"/>
      <c r="M14" s="292"/>
      <c r="N14" s="292">
        <f t="shared" si="0"/>
        <v>1</v>
      </c>
      <c r="O14" s="296">
        <f t="shared" si="1"/>
        <v>1990</v>
      </c>
      <c r="P14" s="297">
        <f ca="1">VLOOKUP(INT(O14),'Exhibit 7.1'!$A$1:$I$128,9)*N14+(1-N14)*VLOOKUP(INT(O14)+1,'Exhibit 7.1'!$A$1:$I$128,9)</f>
        <v>0.41802347553776886</v>
      </c>
      <c r="Q14" s="296"/>
    </row>
    <row r="15" spans="1:17">
      <c r="A15" s="292"/>
      <c r="B15" s="292"/>
      <c r="C15" s="292"/>
      <c r="D15" s="292"/>
      <c r="E15" s="292"/>
      <c r="F15" s="292"/>
      <c r="G15" s="292"/>
      <c r="H15" s="292"/>
      <c r="I15" s="292"/>
      <c r="J15" s="292"/>
      <c r="K15" s="292"/>
      <c r="L15" s="292"/>
      <c r="M15" s="292"/>
      <c r="N15" s="292">
        <f t="shared" si="0"/>
        <v>0.75</v>
      </c>
      <c r="O15" s="296">
        <f t="shared" si="1"/>
        <v>1990.25</v>
      </c>
      <c r="P15" s="297">
        <f ca="1">VLOOKUP(INT(O15),'Exhibit 7.1'!$A$1:$I$128,9)*N15+(1-N15)*VLOOKUP(INT(O15)+1,'Exhibit 7.1'!$A$1:$I$128,9)</f>
        <v>0.41513429833304943</v>
      </c>
      <c r="Q15" s="296"/>
    </row>
    <row r="16" spans="1:17">
      <c r="A16" s="292"/>
      <c r="B16" s="292"/>
      <c r="C16" s="292"/>
      <c r="D16" s="292"/>
      <c r="E16" s="292"/>
      <c r="F16" s="292"/>
      <c r="G16" s="292"/>
      <c r="H16" s="292"/>
      <c r="I16" s="292"/>
      <c r="J16" s="292"/>
      <c r="K16" s="292"/>
      <c r="L16" s="292"/>
      <c r="M16" s="292"/>
      <c r="N16" s="292">
        <f t="shared" si="0"/>
        <v>0.5</v>
      </c>
      <c r="O16" s="296">
        <f t="shared" si="1"/>
        <v>1990.5</v>
      </c>
      <c r="P16" s="297">
        <f ca="1">VLOOKUP(INT(O16),'Exhibit 7.1'!$A$1:$I$128,9)*N16+(1-N16)*VLOOKUP(INT(O16)+1,'Exhibit 7.1'!$A$1:$I$128,9)</f>
        <v>0.41224512112833012</v>
      </c>
      <c r="Q16" s="296"/>
    </row>
    <row r="17" spans="1:17">
      <c r="A17" s="292"/>
      <c r="B17" s="292"/>
      <c r="C17" s="292"/>
      <c r="D17" s="292"/>
      <c r="E17" s="292"/>
      <c r="F17" s="292"/>
      <c r="G17" s="292"/>
      <c r="H17" s="292"/>
      <c r="I17" s="292"/>
      <c r="J17" s="292"/>
      <c r="K17" s="292"/>
      <c r="L17" s="292"/>
      <c r="M17" s="292"/>
      <c r="N17" s="292">
        <f t="shared" si="0"/>
        <v>0.25</v>
      </c>
      <c r="O17" s="296">
        <f t="shared" si="1"/>
        <v>1990.75</v>
      </c>
      <c r="P17" s="297">
        <f ca="1">VLOOKUP(INT(O17),'Exhibit 7.1'!$A$1:$I$128,9)*N17+(1-N17)*VLOOKUP(INT(O17)+1,'Exhibit 7.1'!$A$1:$I$128,9)</f>
        <v>0.40935594392361074</v>
      </c>
      <c r="Q17" s="296"/>
    </row>
    <row r="18" spans="1:17">
      <c r="A18" s="292"/>
      <c r="B18" s="292"/>
      <c r="C18" s="292"/>
      <c r="D18" s="292"/>
      <c r="E18" s="292"/>
      <c r="F18" s="292"/>
      <c r="G18" s="292"/>
      <c r="H18" s="292"/>
      <c r="I18" s="292"/>
      <c r="J18" s="292"/>
      <c r="K18" s="292"/>
      <c r="L18" s="292"/>
      <c r="M18" s="292"/>
      <c r="N18" s="292">
        <f t="shared" si="0"/>
        <v>1</v>
      </c>
      <c r="O18" s="296">
        <f t="shared" si="1"/>
        <v>1991</v>
      </c>
      <c r="P18" s="297">
        <f ca="1">VLOOKUP(INT(O18),'Exhibit 7.1'!$A$1:$I$128,9)*N18+(1-N18)*VLOOKUP(INT(O18)+1,'Exhibit 7.1'!$A$1:$I$128,9)</f>
        <v>0.40646676671889131</v>
      </c>
      <c r="Q18" s="296"/>
    </row>
    <row r="19" spans="1:17">
      <c r="A19" s="292"/>
      <c r="B19" s="292"/>
      <c r="C19" s="292"/>
      <c r="D19" s="292"/>
      <c r="E19" s="292"/>
      <c r="F19" s="292"/>
      <c r="G19" s="292"/>
      <c r="H19" s="292"/>
      <c r="I19" s="292"/>
      <c r="J19" s="292"/>
      <c r="K19" s="292"/>
      <c r="L19" s="292"/>
      <c r="M19" s="292"/>
      <c r="N19" s="292">
        <f t="shared" si="0"/>
        <v>0.75</v>
      </c>
      <c r="O19" s="296">
        <f t="shared" si="1"/>
        <v>1991.25</v>
      </c>
      <c r="P19" s="297">
        <f ca="1">VLOOKUP(INT(O19),'Exhibit 7.1'!$A$1:$I$128,9)*N19+(1-N19)*VLOOKUP(INT(O19)+1,'Exhibit 7.1'!$A$1:$I$128,9)</f>
        <v>0.4019005769609254</v>
      </c>
      <c r="Q19" s="296"/>
    </row>
    <row r="20" spans="1:17">
      <c r="A20" s="292"/>
      <c r="B20" s="292"/>
      <c r="C20" s="292"/>
      <c r="D20" s="292"/>
      <c r="E20" s="292"/>
      <c r="F20" s="292"/>
      <c r="G20" s="292"/>
      <c r="H20" s="292"/>
      <c r="I20" s="292"/>
      <c r="J20" s="292"/>
      <c r="K20" s="292"/>
      <c r="L20" s="292"/>
      <c r="M20" s="292"/>
      <c r="N20" s="292">
        <f t="shared" si="0"/>
        <v>0.5</v>
      </c>
      <c r="O20" s="296">
        <f t="shared" si="1"/>
        <v>1991.5</v>
      </c>
      <c r="P20" s="297">
        <f ca="1">VLOOKUP(INT(O20),'Exhibit 7.1'!$A$1:$I$128,9)*N20+(1-N20)*VLOOKUP(INT(O20)+1,'Exhibit 7.1'!$A$1:$I$128,9)</f>
        <v>0.39733438720295949</v>
      </c>
      <c r="Q20" s="296"/>
    </row>
    <row r="21" spans="1:17">
      <c r="A21" s="292"/>
      <c r="B21" s="292"/>
      <c r="C21" s="292"/>
      <c r="D21" s="292"/>
      <c r="E21" s="292"/>
      <c r="F21" s="292"/>
      <c r="G21" s="292"/>
      <c r="H21" s="292"/>
      <c r="I21" s="292"/>
      <c r="J21" s="292"/>
      <c r="K21" s="292"/>
      <c r="L21" s="292"/>
      <c r="M21" s="292"/>
      <c r="N21" s="292">
        <f t="shared" si="0"/>
        <v>0.25</v>
      </c>
      <c r="O21" s="296">
        <f t="shared" si="1"/>
        <v>1991.75</v>
      </c>
      <c r="P21" s="297">
        <f ca="1">VLOOKUP(INT(O21),'Exhibit 7.1'!$A$1:$I$128,9)*N21+(1-N21)*VLOOKUP(INT(O21)+1,'Exhibit 7.1'!$A$1:$I$128,9)</f>
        <v>0.39276819744499358</v>
      </c>
      <c r="Q21" s="296"/>
    </row>
    <row r="22" spans="1:17">
      <c r="A22" s="292"/>
      <c r="B22" s="292"/>
      <c r="C22" s="292"/>
      <c r="D22" s="292"/>
      <c r="E22" s="292"/>
      <c r="F22" s="292"/>
      <c r="G22" s="292"/>
      <c r="H22" s="292"/>
      <c r="I22" s="292"/>
      <c r="J22" s="292"/>
      <c r="K22" s="292"/>
      <c r="L22" s="292"/>
      <c r="M22" s="292"/>
      <c r="N22" s="292">
        <f t="shared" si="0"/>
        <v>1</v>
      </c>
      <c r="O22" s="296">
        <f t="shared" si="1"/>
        <v>1992</v>
      </c>
      <c r="P22" s="297">
        <f ca="1">VLOOKUP(INT(O22),'Exhibit 7.1'!$A$1:$I$128,9)*N22+(1-N22)*VLOOKUP(INT(O22)+1,'Exhibit 7.1'!$A$1:$I$128,9)</f>
        <v>0.38820200768702767</v>
      </c>
      <c r="Q22" s="296"/>
    </row>
    <row r="23" spans="1:17">
      <c r="A23" s="292"/>
      <c r="B23" s="292"/>
      <c r="C23" s="292"/>
      <c r="D23" s="292"/>
      <c r="E23" s="292"/>
      <c r="F23" s="292"/>
      <c r="G23" s="292"/>
      <c r="H23" s="292"/>
      <c r="I23" s="292"/>
      <c r="J23" s="292"/>
      <c r="K23" s="292"/>
      <c r="L23" s="292"/>
      <c r="M23" s="292"/>
      <c r="N23" s="292">
        <f t="shared" si="0"/>
        <v>0.75</v>
      </c>
      <c r="O23" s="296">
        <f t="shared" si="1"/>
        <v>1992.25</v>
      </c>
      <c r="P23" s="297">
        <f ca="1">VLOOKUP(INT(O23),'Exhibit 7.1'!$A$1:$I$128,9)*N23+(1-N23)*VLOOKUP(INT(O23)+1,'Exhibit 7.1'!$A$1:$I$128,9)</f>
        <v>0.39111443632413495</v>
      </c>
      <c r="Q23" s="296"/>
    </row>
    <row r="24" spans="1:17">
      <c r="A24" s="292"/>
      <c r="B24" s="292"/>
      <c r="C24" s="292"/>
      <c r="D24" s="292"/>
      <c r="E24" s="292"/>
      <c r="F24" s="292"/>
      <c r="G24" s="292"/>
      <c r="H24" s="292"/>
      <c r="I24" s="292"/>
      <c r="J24" s="292"/>
      <c r="K24" s="292"/>
      <c r="L24" s="292"/>
      <c r="M24" s="292"/>
      <c r="N24" s="292">
        <f t="shared" si="0"/>
        <v>0.5</v>
      </c>
      <c r="O24" s="296">
        <f t="shared" si="1"/>
        <v>1992.5</v>
      </c>
      <c r="P24" s="297">
        <f ca="1">VLOOKUP(INT(O24),'Exhibit 7.1'!$A$1:$I$128,9)*N24+(1-N24)*VLOOKUP(INT(O24)+1,'Exhibit 7.1'!$A$1:$I$128,9)</f>
        <v>0.39402686496124217</v>
      </c>
      <c r="Q24" s="296"/>
    </row>
    <row r="25" spans="1:17">
      <c r="A25" s="292"/>
      <c r="B25" s="292"/>
      <c r="C25" s="292"/>
      <c r="D25" s="292"/>
      <c r="E25" s="292"/>
      <c r="F25" s="292"/>
      <c r="G25" s="292"/>
      <c r="H25" s="292"/>
      <c r="I25" s="292"/>
      <c r="J25" s="292"/>
      <c r="K25" s="292"/>
      <c r="L25" s="292"/>
      <c r="M25" s="292"/>
      <c r="N25" s="292">
        <f t="shared" si="0"/>
        <v>0.25</v>
      </c>
      <c r="O25" s="296">
        <f t="shared" si="1"/>
        <v>1992.75</v>
      </c>
      <c r="P25" s="297">
        <f ca="1">VLOOKUP(INT(O25),'Exhibit 7.1'!$A$1:$I$128,9)*N25+(1-N25)*VLOOKUP(INT(O25)+1,'Exhibit 7.1'!$A$1:$I$128,9)</f>
        <v>0.39693929359834945</v>
      </c>
      <c r="Q25" s="296"/>
    </row>
    <row r="26" spans="1:17">
      <c r="A26" s="292"/>
      <c r="B26" s="292"/>
      <c r="C26" s="292"/>
      <c r="D26" s="292"/>
      <c r="E26" s="292"/>
      <c r="F26" s="292"/>
      <c r="G26" s="292"/>
      <c r="H26" s="292"/>
      <c r="I26" s="292"/>
      <c r="J26" s="292"/>
      <c r="K26" s="292"/>
      <c r="L26" s="292"/>
      <c r="M26" s="292"/>
      <c r="N26" s="292">
        <f t="shared" si="0"/>
        <v>1</v>
      </c>
      <c r="O26" s="296">
        <f t="shared" si="1"/>
        <v>1993</v>
      </c>
      <c r="P26" s="297">
        <f ca="1">VLOOKUP(INT(O26),'Exhibit 7.1'!$A$1:$I$128,9)*N26+(1-N26)*VLOOKUP(INT(O26)+1,'Exhibit 7.1'!$A$1:$I$128,9)</f>
        <v>0.39985172223545673</v>
      </c>
      <c r="Q26" s="296"/>
    </row>
    <row r="27" spans="1:17">
      <c r="A27" s="292"/>
      <c r="B27" s="292"/>
      <c r="C27" s="292"/>
      <c r="D27" s="292"/>
      <c r="E27" s="292"/>
      <c r="F27" s="292"/>
      <c r="G27" s="292"/>
      <c r="H27" s="292"/>
      <c r="I27" s="292"/>
      <c r="J27" s="292"/>
      <c r="K27" s="292"/>
      <c r="L27" s="292"/>
      <c r="M27" s="292"/>
      <c r="N27" s="292">
        <f t="shared" si="0"/>
        <v>0.75</v>
      </c>
      <c r="O27" s="296">
        <f t="shared" si="1"/>
        <v>1993.25</v>
      </c>
      <c r="P27" s="297">
        <f ca="1">VLOOKUP(INT(O27),'Exhibit 7.1'!$A$1:$I$128,9)*N27+(1-N27)*VLOOKUP(INT(O27)+1,'Exhibit 7.1'!$A$1:$I$128,9)</f>
        <v>0.40490372952278098</v>
      </c>
      <c r="Q27" s="296"/>
    </row>
    <row r="28" spans="1:17">
      <c r="A28" s="292"/>
      <c r="B28" s="292"/>
      <c r="C28" s="292"/>
      <c r="D28" s="292"/>
      <c r="E28" s="292"/>
      <c r="F28" s="292"/>
      <c r="G28" s="292"/>
      <c r="H28" s="292"/>
      <c r="I28" s="292"/>
      <c r="J28" s="292"/>
      <c r="K28" s="292"/>
      <c r="L28" s="292"/>
      <c r="M28" s="292"/>
      <c r="N28" s="292">
        <f t="shared" si="0"/>
        <v>0.5</v>
      </c>
      <c r="O28" s="296">
        <f t="shared" si="1"/>
        <v>1993.5</v>
      </c>
      <c r="P28" s="297">
        <f ca="1">VLOOKUP(INT(O28),'Exhibit 7.1'!$A$1:$I$128,9)*N28+(1-N28)*VLOOKUP(INT(O28)+1,'Exhibit 7.1'!$A$1:$I$128,9)</f>
        <v>0.40995573681010522</v>
      </c>
      <c r="Q28" s="296"/>
    </row>
    <row r="29" spans="1:17">
      <c r="A29" s="292"/>
      <c r="B29" s="292"/>
      <c r="C29" s="292"/>
      <c r="D29" s="292"/>
      <c r="E29" s="292"/>
      <c r="F29" s="292"/>
      <c r="G29" s="292"/>
      <c r="H29" s="292"/>
      <c r="I29" s="292"/>
      <c r="J29" s="292"/>
      <c r="K29" s="292"/>
      <c r="L29" s="292"/>
      <c r="M29" s="292"/>
      <c r="N29" s="292">
        <f t="shared" si="0"/>
        <v>0.25</v>
      </c>
      <c r="O29" s="296">
        <f t="shared" si="1"/>
        <v>1993.75</v>
      </c>
      <c r="P29" s="297">
        <f ca="1">VLOOKUP(INT(O29),'Exhibit 7.1'!$A$1:$I$128,9)*N29+(1-N29)*VLOOKUP(INT(O29)+1,'Exhibit 7.1'!$A$1:$I$128,9)</f>
        <v>0.41500774409742952</v>
      </c>
      <c r="Q29" s="296"/>
    </row>
    <row r="30" spans="1:17">
      <c r="A30" s="292"/>
      <c r="B30" s="292"/>
      <c r="C30" s="292"/>
      <c r="D30" s="292"/>
      <c r="E30" s="292"/>
      <c r="F30" s="292"/>
      <c r="G30" s="292"/>
      <c r="H30" s="292"/>
      <c r="I30" s="292"/>
      <c r="J30" s="292"/>
      <c r="K30" s="292"/>
      <c r="L30" s="292"/>
      <c r="M30" s="292"/>
      <c r="N30" s="292">
        <f t="shared" si="0"/>
        <v>1</v>
      </c>
      <c r="O30" s="296">
        <f t="shared" si="1"/>
        <v>1994</v>
      </c>
      <c r="P30" s="297">
        <f ca="1">VLOOKUP(INT(O30),'Exhibit 7.1'!$A$1:$I$128,9)*N30+(1-N30)*VLOOKUP(INT(O30)+1,'Exhibit 7.1'!$A$1:$I$128,9)</f>
        <v>0.42005975138475377</v>
      </c>
      <c r="Q30" s="296"/>
    </row>
    <row r="31" spans="1:17">
      <c r="A31" s="292"/>
      <c r="B31" s="292"/>
      <c r="C31" s="292"/>
      <c r="D31" s="292"/>
      <c r="E31" s="292"/>
      <c r="F31" s="292"/>
      <c r="G31" s="292"/>
      <c r="H31" s="292"/>
      <c r="I31" s="292"/>
      <c r="J31" s="292"/>
      <c r="K31" s="292"/>
      <c r="L31" s="292"/>
      <c r="M31" s="298"/>
      <c r="N31" s="292">
        <f t="shared" si="0"/>
        <v>0.75</v>
      </c>
      <c r="O31" s="296">
        <f t="shared" si="1"/>
        <v>1994.25</v>
      </c>
      <c r="P31" s="297">
        <f ca="1">VLOOKUP(INT(O31),'Exhibit 7.1'!$A$1:$I$128,9)*N31+(1-N31)*VLOOKUP(INT(O31)+1,'Exhibit 7.1'!$A$1:$I$128,9)</f>
        <v>0.42180792427554253</v>
      </c>
      <c r="Q31" s="296"/>
    </row>
    <row r="32" spans="1:17">
      <c r="A32" s="292"/>
      <c r="B32" s="292"/>
      <c r="C32" s="292"/>
      <c r="D32" s="292"/>
      <c r="E32" s="292"/>
      <c r="F32" s="292"/>
      <c r="G32" s="292"/>
      <c r="H32" s="292"/>
      <c r="I32" s="292"/>
      <c r="J32" s="292"/>
      <c r="K32" s="292"/>
      <c r="L32" s="292"/>
      <c r="M32" s="298"/>
      <c r="N32" s="292">
        <f t="shared" si="0"/>
        <v>0.5</v>
      </c>
      <c r="O32" s="296">
        <f t="shared" si="1"/>
        <v>1994.5</v>
      </c>
      <c r="P32" s="297">
        <f ca="1">VLOOKUP(INT(O32),'Exhibit 7.1'!$A$1:$I$128,9)*N32+(1-N32)*VLOOKUP(INT(O32)+1,'Exhibit 7.1'!$A$1:$I$128,9)</f>
        <v>0.42355609716633125</v>
      </c>
      <c r="Q32" s="296"/>
    </row>
    <row r="33" spans="1:17">
      <c r="A33" s="292"/>
      <c r="B33" s="292"/>
      <c r="C33" s="292"/>
      <c r="D33" s="292"/>
      <c r="E33" s="292"/>
      <c r="F33" s="292"/>
      <c r="G33" s="292"/>
      <c r="H33" s="292"/>
      <c r="I33" s="292"/>
      <c r="J33" s="292"/>
      <c r="K33" s="292"/>
      <c r="L33" s="292"/>
      <c r="M33" s="292"/>
      <c r="N33" s="292">
        <f t="shared" si="0"/>
        <v>0.25</v>
      </c>
      <c r="O33" s="296">
        <f t="shared" si="1"/>
        <v>1994.75</v>
      </c>
      <c r="P33" s="297">
        <f ca="1">VLOOKUP(INT(O33),'Exhibit 7.1'!$A$1:$I$128,9)*N33+(1-N33)*VLOOKUP(INT(O33)+1,'Exhibit 7.1'!$A$1:$I$128,9)</f>
        <v>0.42530427005712002</v>
      </c>
      <c r="Q33" s="296"/>
    </row>
    <row r="34" spans="1:17">
      <c r="A34" s="292"/>
      <c r="B34" s="292"/>
      <c r="C34" s="292"/>
      <c r="D34" s="292"/>
      <c r="E34" s="292"/>
      <c r="F34" s="292"/>
      <c r="G34" s="292"/>
      <c r="H34" s="292"/>
      <c r="I34" s="292"/>
      <c r="J34" s="292"/>
      <c r="K34" s="292"/>
      <c r="L34" s="292"/>
      <c r="M34" s="292"/>
      <c r="N34" s="292">
        <f t="shared" si="0"/>
        <v>1</v>
      </c>
      <c r="O34" s="296">
        <f t="shared" si="1"/>
        <v>1995</v>
      </c>
      <c r="P34" s="297">
        <f ca="1">VLOOKUP(INT(O34),'Exhibit 7.1'!$A$1:$I$128,9)*N34+(1-N34)*VLOOKUP(INT(O34)+1,'Exhibit 7.1'!$A$1:$I$128,9)</f>
        <v>0.42705244294790878</v>
      </c>
      <c r="Q34" s="296"/>
    </row>
    <row r="35" spans="1:17">
      <c r="A35" s="292"/>
      <c r="B35" s="292"/>
      <c r="C35" s="292"/>
      <c r="D35" s="292"/>
      <c r="E35" s="292"/>
      <c r="F35" s="292"/>
      <c r="G35" s="292"/>
      <c r="H35" s="292"/>
      <c r="I35" s="292"/>
      <c r="J35" s="292"/>
      <c r="K35" s="292"/>
      <c r="L35" s="292"/>
      <c r="M35" s="292"/>
      <c r="N35" s="292">
        <f t="shared" si="0"/>
        <v>0.75</v>
      </c>
      <c r="O35" s="296">
        <f t="shared" si="1"/>
        <v>1995.25</v>
      </c>
      <c r="P35" s="297">
        <f ca="1">VLOOKUP(INT(O35),'Exhibit 7.1'!$A$1:$I$128,9)*N35+(1-N35)*VLOOKUP(INT(O35)+1,'Exhibit 7.1'!$A$1:$I$128,9)</f>
        <v>0.42950960730129939</v>
      </c>
      <c r="Q35" s="296"/>
    </row>
    <row r="36" spans="1:17">
      <c r="A36" s="395" t="s">
        <v>470</v>
      </c>
      <c r="B36" s="292"/>
      <c r="C36" s="292"/>
      <c r="D36" s="292"/>
      <c r="E36" s="292"/>
      <c r="F36" s="292"/>
      <c r="G36" s="292"/>
      <c r="H36" s="292"/>
      <c r="I36" s="292"/>
      <c r="J36" s="292"/>
      <c r="K36" s="292"/>
      <c r="L36" s="292"/>
      <c r="M36" s="292"/>
      <c r="N36" s="292">
        <f t="shared" si="0"/>
        <v>0.5</v>
      </c>
      <c r="O36" s="296">
        <f t="shared" si="1"/>
        <v>1995.5</v>
      </c>
      <c r="P36" s="297">
        <f ca="1">VLOOKUP(INT(O36),'Exhibit 7.1'!$A$1:$I$128,9)*N36+(1-N36)*VLOOKUP(INT(O36)+1,'Exhibit 7.1'!$A$1:$I$128,9)</f>
        <v>0.43196677165469</v>
      </c>
      <c r="Q36" s="296"/>
    </row>
    <row r="37" spans="1:17">
      <c r="A37" s="535" t="s">
        <v>503</v>
      </c>
      <c r="B37" s="536"/>
      <c r="C37" s="536"/>
      <c r="D37" s="536"/>
      <c r="E37" s="536"/>
      <c r="F37" s="536"/>
      <c r="G37" s="536"/>
      <c r="H37" s="536"/>
      <c r="I37" s="536"/>
      <c r="J37" s="536"/>
      <c r="K37" s="536"/>
      <c r="L37" s="292"/>
      <c r="M37" s="292"/>
      <c r="N37" s="292">
        <f t="shared" si="0"/>
        <v>0.25</v>
      </c>
      <c r="O37" s="296">
        <f t="shared" si="1"/>
        <v>1995.75</v>
      </c>
      <c r="P37" s="297">
        <f ca="1">VLOOKUP(INT(O37),'Exhibit 7.1'!$A$1:$I$128,9)*N37+(1-N37)*VLOOKUP(INT(O37)+1,'Exhibit 7.1'!$A$1:$I$128,9)</f>
        <v>0.43442393600808055</v>
      </c>
      <c r="Q37" s="296"/>
    </row>
    <row r="38" spans="1:17">
      <c r="A38" s="536"/>
      <c r="B38" s="536"/>
      <c r="C38" s="536"/>
      <c r="D38" s="536"/>
      <c r="E38" s="536"/>
      <c r="F38" s="536"/>
      <c r="G38" s="536"/>
      <c r="H38" s="536"/>
      <c r="I38" s="536"/>
      <c r="J38" s="536"/>
      <c r="K38" s="536"/>
      <c r="L38" s="292"/>
      <c r="M38" s="292"/>
      <c r="N38" s="292">
        <f t="shared" si="0"/>
        <v>1</v>
      </c>
      <c r="O38" s="296">
        <f t="shared" si="1"/>
        <v>1996</v>
      </c>
      <c r="P38" s="297">
        <f ca="1">VLOOKUP(INT(O38),'Exhibit 7.1'!$A$1:$I$128,9)*N38+(1-N38)*VLOOKUP(INT(O38)+1,'Exhibit 7.1'!$A$1:$I$128,9)</f>
        <v>0.43688110036147115</v>
      </c>
      <c r="Q38" s="296"/>
    </row>
    <row r="39" spans="1:17">
      <c r="A39" s="292"/>
      <c r="B39" s="292"/>
      <c r="C39" s="292"/>
      <c r="D39" s="292"/>
      <c r="E39" s="292"/>
      <c r="F39" s="292"/>
      <c r="G39" s="292"/>
      <c r="H39" s="292"/>
      <c r="I39" s="292"/>
      <c r="J39" s="292"/>
      <c r="K39" s="292"/>
      <c r="L39" s="292"/>
      <c r="M39" s="292"/>
      <c r="N39" s="292">
        <f t="shared" si="0"/>
        <v>0.75</v>
      </c>
      <c r="O39" s="296">
        <f t="shared" si="1"/>
        <v>1996.25</v>
      </c>
      <c r="P39" s="297">
        <f ca="1">VLOOKUP(INT(O39),'Exhibit 7.1'!$A$1:$I$128,9)*N39+(1-N39)*VLOOKUP(INT(O39)+1,'Exhibit 7.1'!$A$1:$I$128,9)</f>
        <v>0.44194763850863972</v>
      </c>
      <c r="Q39" s="296"/>
    </row>
    <row r="40" spans="1:17">
      <c r="A40" s="292"/>
      <c r="B40" s="292"/>
      <c r="C40" s="292"/>
      <c r="D40" s="292"/>
      <c r="E40" s="292"/>
      <c r="F40" s="292"/>
      <c r="G40" s="292"/>
      <c r="H40" s="292"/>
      <c r="I40" s="292"/>
      <c r="J40" s="292"/>
      <c r="K40" s="292"/>
      <c r="L40" s="292"/>
      <c r="M40" s="292"/>
      <c r="N40" s="292">
        <f t="shared" si="0"/>
        <v>0.5</v>
      </c>
      <c r="O40" s="296">
        <f t="shared" si="1"/>
        <v>1996.5</v>
      </c>
      <c r="P40" s="297">
        <f ca="1">VLOOKUP(INT(O40),'Exhibit 7.1'!$A$1:$I$128,9)*N40+(1-N40)*VLOOKUP(INT(O40)+1,'Exhibit 7.1'!$A$1:$I$128,9)</f>
        <v>0.44701417665580834</v>
      </c>
      <c r="Q40" s="296"/>
    </row>
    <row r="41" spans="1:17">
      <c r="A41" s="292"/>
      <c r="B41" s="292"/>
      <c r="C41" s="292"/>
      <c r="D41" s="292"/>
      <c r="E41" s="292"/>
      <c r="F41" s="292"/>
      <c r="G41" s="292"/>
      <c r="H41" s="292"/>
      <c r="I41" s="292"/>
      <c r="J41" s="292"/>
      <c r="K41" s="292"/>
      <c r="L41" s="292"/>
      <c r="M41" s="292"/>
      <c r="N41" s="292">
        <f t="shared" si="0"/>
        <v>0.25</v>
      </c>
      <c r="O41" s="296">
        <f t="shared" si="1"/>
        <v>1996.75</v>
      </c>
      <c r="P41" s="297">
        <f ca="1">VLOOKUP(INT(O41),'Exhibit 7.1'!$A$1:$I$128,9)*N41+(1-N41)*VLOOKUP(INT(O41)+1,'Exhibit 7.1'!$A$1:$I$128,9)</f>
        <v>0.45208071480297696</v>
      </c>
      <c r="Q41" s="296"/>
    </row>
    <row r="42" spans="1:17">
      <c r="A42" s="292"/>
      <c r="B42" s="292"/>
      <c r="C42" s="292"/>
      <c r="D42" s="292"/>
      <c r="E42" s="292"/>
      <c r="F42" s="292"/>
      <c r="G42" s="292"/>
      <c r="H42" s="292"/>
      <c r="I42" s="292"/>
      <c r="J42" s="292"/>
      <c r="K42" s="292"/>
      <c r="L42" s="292"/>
      <c r="M42" s="292"/>
      <c r="N42" s="292">
        <f t="shared" si="0"/>
        <v>1</v>
      </c>
      <c r="O42" s="296">
        <f t="shared" si="1"/>
        <v>1997</v>
      </c>
      <c r="P42" s="297">
        <f ca="1">VLOOKUP(INT(O42),'Exhibit 7.1'!$A$1:$I$128,9)*N42+(1-N42)*VLOOKUP(INT(O42)+1,'Exhibit 7.1'!$A$1:$I$128,9)</f>
        <v>0.45714725295014558</v>
      </c>
      <c r="Q42" s="296"/>
    </row>
    <row r="43" spans="1:17">
      <c r="A43" s="292"/>
      <c r="B43" s="292"/>
      <c r="C43" s="292"/>
      <c r="D43" s="292"/>
      <c r="E43" s="292"/>
      <c r="F43" s="292"/>
      <c r="G43" s="292"/>
      <c r="H43" s="292"/>
      <c r="I43" s="292"/>
      <c r="J43" s="292"/>
      <c r="K43" s="292"/>
      <c r="L43" s="292"/>
      <c r="M43" s="292"/>
      <c r="N43" s="292">
        <f t="shared" si="0"/>
        <v>0.75</v>
      </c>
      <c r="O43" s="296">
        <f t="shared" si="1"/>
        <v>1997.25</v>
      </c>
      <c r="P43" s="297">
        <f ca="1">VLOOKUP(INT(O43),'Exhibit 7.1'!$A$1:$I$128,9)*N43+(1-N43)*VLOOKUP(INT(O43)+1,'Exhibit 7.1'!$A$1:$I$128,9)</f>
        <v>0.45575493208710893</v>
      </c>
      <c r="Q43" s="296"/>
    </row>
    <row r="44" spans="1:17">
      <c r="A44" s="292"/>
      <c r="B44" s="292"/>
      <c r="C44" s="292"/>
      <c r="D44" s="292"/>
      <c r="E44" s="292"/>
      <c r="F44" s="292"/>
      <c r="G44" s="292"/>
      <c r="H44" s="292"/>
      <c r="I44" s="292"/>
      <c r="J44" s="292"/>
      <c r="K44" s="292"/>
      <c r="L44" s="292"/>
      <c r="M44" s="292"/>
      <c r="N44" s="292">
        <f t="shared" si="0"/>
        <v>0.5</v>
      </c>
      <c r="O44" s="296">
        <f t="shared" si="1"/>
        <v>1997.5</v>
      </c>
      <c r="P44" s="297">
        <f ca="1">VLOOKUP(INT(O44),'Exhibit 7.1'!$A$1:$I$128,9)*N44+(1-N44)*VLOOKUP(INT(O44)+1,'Exhibit 7.1'!$A$1:$I$128,9)</f>
        <v>0.45436261122407229</v>
      </c>
      <c r="Q44" s="296"/>
    </row>
    <row r="45" spans="1:17">
      <c r="A45" s="292"/>
      <c r="B45" s="292"/>
      <c r="C45" s="292"/>
      <c r="D45" s="292"/>
      <c r="E45" s="292"/>
      <c r="F45" s="292"/>
      <c r="G45" s="292"/>
      <c r="H45" s="292"/>
      <c r="I45" s="292"/>
      <c r="J45" s="292"/>
      <c r="K45" s="292"/>
      <c r="L45" s="292"/>
      <c r="M45" s="292"/>
      <c r="N45" s="292">
        <f t="shared" si="0"/>
        <v>0.25</v>
      </c>
      <c r="O45" s="296">
        <f t="shared" si="1"/>
        <v>1997.75</v>
      </c>
      <c r="P45" s="297">
        <f ca="1">VLOOKUP(INT(O45),'Exhibit 7.1'!$A$1:$I$128,9)*N45+(1-N45)*VLOOKUP(INT(O45)+1,'Exhibit 7.1'!$A$1:$I$128,9)</f>
        <v>0.45297029036103564</v>
      </c>
      <c r="Q45" s="296"/>
    </row>
    <row r="46" spans="1:17">
      <c r="A46" s="292"/>
      <c r="B46" s="292"/>
      <c r="C46" s="292"/>
      <c r="D46" s="292"/>
      <c r="E46" s="292"/>
      <c r="F46" s="292"/>
      <c r="G46" s="292"/>
      <c r="H46" s="292"/>
      <c r="I46" s="292"/>
      <c r="J46" s="292"/>
      <c r="K46" s="292"/>
      <c r="L46" s="292"/>
      <c r="M46" s="292"/>
      <c r="N46" s="292">
        <f t="shared" si="0"/>
        <v>1</v>
      </c>
      <c r="O46" s="296">
        <f t="shared" si="1"/>
        <v>1998</v>
      </c>
      <c r="P46" s="297">
        <f ca="1">VLOOKUP(INT(O46),'Exhibit 7.1'!$A$1:$I$128,9)*N46+(1-N46)*VLOOKUP(INT(O46)+1,'Exhibit 7.1'!$A$1:$I$128,9)</f>
        <v>0.451577969497999</v>
      </c>
      <c r="Q46" s="296"/>
    </row>
    <row r="47" spans="1:17">
      <c r="A47" s="292"/>
      <c r="B47" s="292"/>
      <c r="C47" s="292"/>
      <c r="D47" s="292"/>
      <c r="E47" s="292"/>
      <c r="F47" s="292"/>
      <c r="G47" s="292"/>
      <c r="H47" s="292"/>
      <c r="I47" s="292"/>
      <c r="J47" s="292"/>
      <c r="K47" s="292"/>
      <c r="L47" s="292"/>
      <c r="M47" s="292"/>
      <c r="N47" s="292">
        <f t="shared" si="0"/>
        <v>0.75</v>
      </c>
      <c r="O47" s="296">
        <f t="shared" si="1"/>
        <v>1998.25</v>
      </c>
      <c r="P47" s="297">
        <f ca="1">VLOOKUP(INT(O47),'Exhibit 7.1'!$A$1:$I$128,9)*N47+(1-N47)*VLOOKUP(INT(O47)+1,'Exhibit 7.1'!$A$1:$I$128,9)</f>
        <v>0.45414233305937968</v>
      </c>
      <c r="Q47" s="296"/>
    </row>
    <row r="48" spans="1:17">
      <c r="A48" s="292"/>
      <c r="B48" s="292"/>
      <c r="C48" s="292"/>
      <c r="D48" s="292"/>
      <c r="E48" s="292"/>
      <c r="F48" s="292"/>
      <c r="G48" s="292"/>
      <c r="H48" s="292"/>
      <c r="I48" s="292"/>
      <c r="J48" s="292"/>
      <c r="K48" s="292"/>
      <c r="L48" s="292"/>
      <c r="M48" s="292"/>
      <c r="N48" s="292">
        <f t="shared" si="0"/>
        <v>0.5</v>
      </c>
      <c r="O48" s="296">
        <f t="shared" si="1"/>
        <v>1998.5</v>
      </c>
      <c r="P48" s="297">
        <f ca="1">VLOOKUP(INT(O48),'Exhibit 7.1'!$A$1:$I$128,9)*N48+(1-N48)*VLOOKUP(INT(O48)+1,'Exhibit 7.1'!$A$1:$I$128,9)</f>
        <v>0.45670669662076036</v>
      </c>
      <c r="Q48" s="296"/>
    </row>
    <row r="49" spans="1:17">
      <c r="A49" s="292"/>
      <c r="B49" s="292"/>
      <c r="C49" s="292"/>
      <c r="D49" s="292"/>
      <c r="E49" s="292"/>
      <c r="F49" s="292"/>
      <c r="G49" s="292"/>
      <c r="H49" s="292"/>
      <c r="I49" s="292"/>
      <c r="J49" s="292"/>
      <c r="K49" s="292"/>
      <c r="L49" s="292"/>
      <c r="M49" s="292"/>
      <c r="N49" s="292">
        <f t="shared" si="0"/>
        <v>0.25</v>
      </c>
      <c r="O49" s="296">
        <f t="shared" si="1"/>
        <v>1998.75</v>
      </c>
      <c r="P49" s="297">
        <f ca="1">VLOOKUP(INT(O49),'Exhibit 7.1'!$A$1:$I$128,9)*N49+(1-N49)*VLOOKUP(INT(O49)+1,'Exhibit 7.1'!$A$1:$I$128,9)</f>
        <v>0.45927106018214103</v>
      </c>
      <c r="Q49" s="296"/>
    </row>
    <row r="50" spans="1:17">
      <c r="A50" s="292"/>
      <c r="B50" s="292"/>
      <c r="C50" s="292"/>
      <c r="D50" s="292"/>
      <c r="E50" s="292"/>
      <c r="F50" s="292"/>
      <c r="G50" s="292"/>
      <c r="H50" s="292"/>
      <c r="I50" s="292"/>
      <c r="J50" s="292"/>
      <c r="K50" s="292"/>
      <c r="L50" s="292"/>
      <c r="M50" s="292"/>
      <c r="N50" s="292">
        <f t="shared" si="0"/>
        <v>1</v>
      </c>
      <c r="O50" s="296">
        <f t="shared" si="1"/>
        <v>1999</v>
      </c>
      <c r="P50" s="297">
        <f ca="1">VLOOKUP(INT(O50),'Exhibit 7.1'!$A$1:$I$128,9)*N50+(1-N50)*VLOOKUP(INT(O50)+1,'Exhibit 7.1'!$A$1:$I$128,9)</f>
        <v>0.46183542374352177</v>
      </c>
      <c r="Q50" s="296"/>
    </row>
    <row r="51" spans="1:17">
      <c r="A51" s="292"/>
      <c r="B51" s="292"/>
      <c r="C51" s="292"/>
      <c r="D51" s="292"/>
      <c r="E51" s="292"/>
      <c r="F51" s="292"/>
      <c r="G51" s="292"/>
      <c r="H51" s="292"/>
      <c r="I51" s="292"/>
      <c r="J51" s="292"/>
      <c r="K51" s="292"/>
      <c r="L51" s="292"/>
      <c r="M51" s="292"/>
      <c r="N51" s="292">
        <f t="shared" si="0"/>
        <v>0.75</v>
      </c>
      <c r="O51" s="296">
        <f t="shared" si="1"/>
        <v>1999.25</v>
      </c>
      <c r="P51" s="297">
        <f ca="1">VLOOKUP(INT(O51),'Exhibit 7.1'!$A$1:$I$128,9)*N51+(1-N51)*VLOOKUP(INT(O51)+1,'Exhibit 7.1'!$A$1:$I$128,9)</f>
        <v>0.46442037542082509</v>
      </c>
      <c r="Q51" s="296"/>
    </row>
    <row r="52" spans="1:17">
      <c r="A52" s="292"/>
      <c r="B52" s="292"/>
      <c r="C52" s="292"/>
      <c r="D52" s="292"/>
      <c r="E52" s="292"/>
      <c r="F52" s="292"/>
      <c r="G52" s="292"/>
      <c r="H52" s="292"/>
      <c r="I52" s="292"/>
      <c r="J52" s="292"/>
      <c r="K52" s="292"/>
      <c r="L52" s="292"/>
      <c r="M52" s="292"/>
      <c r="N52" s="292">
        <f t="shared" si="0"/>
        <v>0.5</v>
      </c>
      <c r="O52" s="296">
        <f t="shared" si="1"/>
        <v>1999.5</v>
      </c>
      <c r="P52" s="297">
        <f ca="1">VLOOKUP(INT(O52),'Exhibit 7.1'!$A$1:$I$128,9)*N52+(1-N52)*VLOOKUP(INT(O52)+1,'Exhibit 7.1'!$A$1:$I$128,9)</f>
        <v>0.46700532709812848</v>
      </c>
      <c r="Q52" s="296"/>
    </row>
    <row r="53" spans="1:17">
      <c r="A53" s="292"/>
      <c r="B53" s="292"/>
      <c r="C53" s="292"/>
      <c r="D53" s="292"/>
      <c r="E53" s="292"/>
      <c r="F53" s="292"/>
      <c r="G53" s="292"/>
      <c r="H53" s="292"/>
      <c r="I53" s="292"/>
      <c r="J53" s="292"/>
      <c r="K53" s="292"/>
      <c r="L53" s="292"/>
      <c r="M53" s="292"/>
      <c r="N53" s="292">
        <f t="shared" si="0"/>
        <v>0.25</v>
      </c>
      <c r="O53" s="296">
        <f t="shared" si="1"/>
        <v>1999.75</v>
      </c>
      <c r="P53" s="297">
        <f ca="1">VLOOKUP(INT(O53),'Exhibit 7.1'!$A$1:$I$128,9)*N53+(1-N53)*VLOOKUP(INT(O53)+1,'Exhibit 7.1'!$A$1:$I$128,9)</f>
        <v>0.46959027877543186</v>
      </c>
      <c r="Q53" s="296"/>
    </row>
    <row r="54" spans="1:17">
      <c r="A54" s="292"/>
      <c r="B54" s="292"/>
      <c r="C54" s="292"/>
      <c r="D54" s="292"/>
      <c r="E54" s="292"/>
      <c r="F54" s="292"/>
      <c r="G54" s="292"/>
      <c r="H54" s="292"/>
      <c r="I54" s="292"/>
      <c r="J54" s="292"/>
      <c r="K54" s="292"/>
      <c r="L54" s="292"/>
      <c r="M54" s="292"/>
      <c r="N54" s="292">
        <f t="shared" si="0"/>
        <v>1</v>
      </c>
      <c r="O54" s="296">
        <f t="shared" si="1"/>
        <v>2000</v>
      </c>
      <c r="P54" s="297">
        <f ca="1">VLOOKUP(INT(O54),'Exhibit 7.1'!$A$1:$I$128,9)*N54+(1-N54)*VLOOKUP(INT(O54)+1,'Exhibit 7.1'!$A$1:$I$128,9)</f>
        <v>0.47217523045273518</v>
      </c>
      <c r="Q54" s="296"/>
    </row>
    <row r="55" spans="1:17">
      <c r="A55" s="292"/>
      <c r="B55" s="292"/>
      <c r="C55" s="292"/>
      <c r="D55" s="292"/>
      <c r="E55" s="292"/>
      <c r="F55" s="292"/>
      <c r="G55" s="292"/>
      <c r="H55" s="292"/>
      <c r="I55" s="292"/>
      <c r="J55" s="292"/>
      <c r="K55" s="292"/>
      <c r="L55" s="292"/>
      <c r="M55" s="292"/>
      <c r="N55" s="292">
        <f t="shared" si="0"/>
        <v>0.75</v>
      </c>
      <c r="O55" s="296">
        <f t="shared" si="1"/>
        <v>2000.25</v>
      </c>
      <c r="P55" s="297">
        <f ca="1">VLOOKUP(INT(O55),'Exhibit 7.1'!$A$1:$I$128,9)*N55+(1-N55)*VLOOKUP(INT(O55)+1,'Exhibit 7.1'!$A$1:$I$128,9)</f>
        <v>0.46906976380480059</v>
      </c>
      <c r="Q55" s="296"/>
    </row>
    <row r="56" spans="1:17">
      <c r="A56" s="292"/>
      <c r="B56" s="292"/>
      <c r="C56" s="292"/>
      <c r="D56" s="292"/>
      <c r="E56" s="292"/>
      <c r="F56" s="292"/>
      <c r="G56" s="292"/>
      <c r="H56" s="292"/>
      <c r="I56" s="292"/>
      <c r="J56" s="292"/>
      <c r="K56" s="292"/>
      <c r="L56" s="292"/>
      <c r="M56" s="292"/>
      <c r="N56" s="292">
        <f t="shared" si="0"/>
        <v>0.5</v>
      </c>
      <c r="O56" s="296">
        <f t="shared" si="1"/>
        <v>2000.5</v>
      </c>
      <c r="P56" s="297">
        <f ca="1">VLOOKUP(INT(O56),'Exhibit 7.1'!$A$1:$I$128,9)*N56+(1-N56)*VLOOKUP(INT(O56)+1,'Exhibit 7.1'!$A$1:$I$128,9)</f>
        <v>0.46596429715686599</v>
      </c>
      <c r="Q56" s="296"/>
    </row>
    <row r="57" spans="1:17">
      <c r="A57" s="292"/>
      <c r="B57" s="292"/>
      <c r="C57" s="292"/>
      <c r="D57" s="292"/>
      <c r="E57" s="292"/>
      <c r="F57" s="292"/>
      <c r="G57" s="292"/>
      <c r="H57" s="292"/>
      <c r="I57" s="292"/>
      <c r="J57" s="292"/>
      <c r="K57" s="292"/>
      <c r="L57" s="292"/>
      <c r="M57" s="292"/>
      <c r="N57" s="292">
        <f t="shared" si="0"/>
        <v>0.25</v>
      </c>
      <c r="O57" s="296">
        <f t="shared" si="1"/>
        <v>2000.75</v>
      </c>
      <c r="P57" s="297">
        <f ca="1">VLOOKUP(INT(O57),'Exhibit 7.1'!$A$1:$I$128,9)*N57+(1-N57)*VLOOKUP(INT(O57)+1,'Exhibit 7.1'!$A$1:$I$128,9)</f>
        <v>0.4628588305089314</v>
      </c>
      <c r="Q57" s="296"/>
    </row>
    <row r="58" spans="1:17">
      <c r="A58" s="292"/>
      <c r="B58" s="292"/>
      <c r="C58" s="292"/>
      <c r="D58" s="292"/>
      <c r="E58" s="292"/>
      <c r="F58" s="292"/>
      <c r="G58" s="292"/>
      <c r="H58" s="292"/>
      <c r="I58" s="292"/>
      <c r="J58" s="292"/>
      <c r="K58" s="292"/>
      <c r="L58" s="292"/>
      <c r="M58" s="292"/>
      <c r="N58" s="292">
        <f t="shared" si="0"/>
        <v>1</v>
      </c>
      <c r="O58" s="296">
        <f t="shared" si="1"/>
        <v>2001</v>
      </c>
      <c r="P58" s="297">
        <f ca="1">VLOOKUP(INT(O58),'Exhibit 7.1'!$A$1:$I$128,9)*N58+(1-N58)*VLOOKUP(INT(O58)+1,'Exhibit 7.1'!$A$1:$I$128,9)</f>
        <v>0.4597533638609968</v>
      </c>
      <c r="Q58" s="296"/>
    </row>
    <row r="59" spans="1:17">
      <c r="A59" s="292"/>
      <c r="B59" s="292"/>
      <c r="C59" s="292"/>
      <c r="D59" s="292"/>
      <c r="E59" s="292"/>
      <c r="F59" s="292"/>
      <c r="G59" s="292"/>
      <c r="H59" s="292"/>
      <c r="I59" s="292"/>
      <c r="J59" s="292"/>
      <c r="K59" s="292"/>
      <c r="L59" s="292"/>
      <c r="M59" s="292"/>
      <c r="N59" s="292">
        <f t="shared" ref="N59:N122" si="2">INT(O59)-O59+1</f>
        <v>0.75</v>
      </c>
      <c r="O59" s="296">
        <f t="shared" ref="O59:O97" si="3">+O58+0.25</f>
        <v>2001.25</v>
      </c>
      <c r="P59" s="297">
        <f ca="1">VLOOKUP(INT(O59),'Exhibit 7.1'!$A$1:$I$128,9)*N59+(1-N59)*VLOOKUP(INT(O59)+1,'Exhibit 7.1'!$A$1:$I$128,9)</f>
        <v>0.45960686537899142</v>
      </c>
      <c r="Q59" s="296"/>
    </row>
    <row r="60" spans="1:17">
      <c r="A60" s="292"/>
      <c r="B60" s="292"/>
      <c r="C60" s="292"/>
      <c r="D60" s="292"/>
      <c r="E60" s="292"/>
      <c r="F60" s="292"/>
      <c r="G60" s="292"/>
      <c r="H60" s="292"/>
      <c r="I60" s="292"/>
      <c r="J60" s="292"/>
      <c r="K60" s="292"/>
      <c r="L60" s="292"/>
      <c r="M60" s="292"/>
      <c r="N60" s="292">
        <f t="shared" si="2"/>
        <v>0.5</v>
      </c>
      <c r="O60" s="296">
        <f t="shared" si="3"/>
        <v>2001.5</v>
      </c>
      <c r="P60" s="297">
        <f ca="1">VLOOKUP(INT(O60),'Exhibit 7.1'!$A$1:$I$128,9)*N60+(1-N60)*VLOOKUP(INT(O60)+1,'Exhibit 7.1'!$A$1:$I$128,9)</f>
        <v>0.45946036689698599</v>
      </c>
      <c r="Q60" s="296"/>
    </row>
    <row r="61" spans="1:17">
      <c r="A61" s="292"/>
      <c r="B61" s="292"/>
      <c r="C61" s="292"/>
      <c r="D61" s="292"/>
      <c r="E61" s="292"/>
      <c r="F61" s="292"/>
      <c r="G61" s="292"/>
      <c r="H61" s="292"/>
      <c r="I61" s="292"/>
      <c r="J61" s="292"/>
      <c r="K61" s="292"/>
      <c r="L61" s="292"/>
      <c r="M61" s="292"/>
      <c r="N61" s="292">
        <f t="shared" si="2"/>
        <v>0.25</v>
      </c>
      <c r="O61" s="296">
        <f t="shared" si="3"/>
        <v>2001.75</v>
      </c>
      <c r="P61" s="297">
        <f ca="1">VLOOKUP(INT(O61),'Exhibit 7.1'!$A$1:$I$128,9)*N61+(1-N61)*VLOOKUP(INT(O61)+1,'Exhibit 7.1'!$A$1:$I$128,9)</f>
        <v>0.45931386841498051</v>
      </c>
      <c r="Q61" s="296"/>
    </row>
    <row r="62" spans="1:17">
      <c r="A62" s="292"/>
      <c r="B62" s="292"/>
      <c r="C62" s="292"/>
      <c r="D62" s="292"/>
      <c r="E62" s="292"/>
      <c r="F62" s="292"/>
      <c r="G62" s="292"/>
      <c r="H62" s="292"/>
      <c r="I62" s="292"/>
      <c r="J62" s="292"/>
      <c r="K62" s="292"/>
      <c r="L62" s="292"/>
      <c r="M62" s="292"/>
      <c r="N62" s="292">
        <f t="shared" si="2"/>
        <v>1</v>
      </c>
      <c r="O62" s="296">
        <f t="shared" si="3"/>
        <v>2002</v>
      </c>
      <c r="P62" s="297">
        <f ca="1">VLOOKUP(INT(O62),'Exhibit 7.1'!$A$1:$I$128,9)*N62+(1-N62)*VLOOKUP(INT(O62)+1,'Exhibit 7.1'!$A$1:$I$128,9)</f>
        <v>0.45916736993297513</v>
      </c>
      <c r="Q62" s="296"/>
    </row>
    <row r="63" spans="1:17">
      <c r="A63" s="292"/>
      <c r="B63" s="292"/>
      <c r="C63" s="292"/>
      <c r="D63" s="292"/>
      <c r="E63" s="292"/>
      <c r="F63" s="292"/>
      <c r="G63" s="292"/>
      <c r="H63" s="292"/>
      <c r="I63" s="292"/>
      <c r="J63" s="292"/>
      <c r="K63" s="292"/>
      <c r="L63" s="292"/>
      <c r="M63" s="292"/>
      <c r="N63" s="292">
        <f t="shared" si="2"/>
        <v>0.75</v>
      </c>
      <c r="O63" s="296">
        <f t="shared" si="3"/>
        <v>2002.25</v>
      </c>
      <c r="P63" s="297">
        <f ca="1">VLOOKUP(INT(O63),'Exhibit 7.1'!$A$1:$I$128,9)*N63+(1-N63)*VLOOKUP(INT(O63)+1,'Exhibit 7.1'!$A$1:$I$128,9)</f>
        <v>0.4511633311066125</v>
      </c>
      <c r="Q63" s="296"/>
    </row>
    <row r="64" spans="1:17">
      <c r="A64" s="292"/>
      <c r="B64" s="292"/>
      <c r="C64" s="292"/>
      <c r="D64" s="292"/>
      <c r="E64" s="292"/>
      <c r="F64" s="292"/>
      <c r="G64" s="292"/>
      <c r="H64" s="292"/>
      <c r="I64" s="292"/>
      <c r="J64" s="292"/>
      <c r="K64" s="292"/>
      <c r="L64" s="292"/>
      <c r="M64" s="292"/>
      <c r="N64" s="292">
        <f t="shared" si="2"/>
        <v>0.5</v>
      </c>
      <c r="O64" s="296">
        <f t="shared" si="3"/>
        <v>2002.5</v>
      </c>
      <c r="P64" s="297">
        <f ca="1">VLOOKUP(INT(O64),'Exhibit 7.1'!$A$1:$I$128,9)*N64+(1-N64)*VLOOKUP(INT(O64)+1,'Exhibit 7.1'!$A$1:$I$128,9)</f>
        <v>0.44315929228024992</v>
      </c>
      <c r="Q64" s="296"/>
    </row>
    <row r="65" spans="1:17">
      <c r="A65" s="292"/>
      <c r="B65" s="292"/>
      <c r="C65" s="292"/>
      <c r="D65" s="292"/>
      <c r="E65" s="292"/>
      <c r="F65" s="292"/>
      <c r="G65" s="292"/>
      <c r="H65" s="292"/>
      <c r="I65" s="292"/>
      <c r="J65" s="292"/>
      <c r="K65" s="292"/>
      <c r="L65" s="292"/>
      <c r="M65" s="292"/>
      <c r="N65" s="292">
        <f t="shared" si="2"/>
        <v>0.25</v>
      </c>
      <c r="O65" s="296">
        <f t="shared" si="3"/>
        <v>2002.75</v>
      </c>
      <c r="P65" s="297">
        <f ca="1">VLOOKUP(INT(O65),'Exhibit 7.1'!$A$1:$I$128,9)*N65+(1-N65)*VLOOKUP(INT(O65)+1,'Exhibit 7.1'!$A$1:$I$128,9)</f>
        <v>0.43515525345388728</v>
      </c>
      <c r="Q65" s="296"/>
    </row>
    <row r="66" spans="1:17">
      <c r="A66" s="292"/>
      <c r="B66" s="292"/>
      <c r="C66" s="292"/>
      <c r="D66" s="292"/>
      <c r="E66" s="292"/>
      <c r="F66" s="292"/>
      <c r="G66" s="292"/>
      <c r="H66" s="292"/>
      <c r="I66" s="292"/>
      <c r="J66" s="292"/>
      <c r="K66" s="292"/>
      <c r="L66" s="292"/>
      <c r="M66" s="292"/>
      <c r="N66" s="292">
        <f t="shared" si="2"/>
        <v>1</v>
      </c>
      <c r="O66" s="296">
        <f t="shared" si="3"/>
        <v>2003</v>
      </c>
      <c r="P66" s="297">
        <f ca="1">VLOOKUP(INT(O66),'Exhibit 7.1'!$A$1:$I$128,9)*N66+(1-N66)*VLOOKUP(INT(O66)+1,'Exhibit 7.1'!$A$1:$I$128,9)</f>
        <v>0.4271512146275247</v>
      </c>
      <c r="Q66" s="296"/>
    </row>
    <row r="67" spans="1:17">
      <c r="A67" s="292"/>
      <c r="B67" s="292"/>
      <c r="C67" s="292"/>
      <c r="D67" s="292"/>
      <c r="E67" s="292"/>
      <c r="F67" s="292"/>
      <c r="G67" s="292"/>
      <c r="H67" s="292"/>
      <c r="I67" s="292"/>
      <c r="J67" s="292"/>
      <c r="K67" s="292"/>
      <c r="L67" s="292"/>
      <c r="M67" s="292"/>
      <c r="N67" s="292">
        <f t="shared" si="2"/>
        <v>0.75</v>
      </c>
      <c r="O67" s="296">
        <f t="shared" si="3"/>
        <v>2003.25</v>
      </c>
      <c r="P67" s="297">
        <f ca="1">VLOOKUP(INT(O67),'Exhibit 7.1'!$A$1:$I$128,9)*N67+(1-N67)*VLOOKUP(INT(O67)+1,'Exhibit 7.1'!$A$1:$I$128,9)</f>
        <v>0.41619933093476064</v>
      </c>
      <c r="Q67" s="296"/>
    </row>
    <row r="68" spans="1:17">
      <c r="A68" s="292"/>
      <c r="B68" s="292"/>
      <c r="C68" s="292"/>
      <c r="D68" s="292"/>
      <c r="E68" s="292"/>
      <c r="F68" s="292"/>
      <c r="G68" s="292"/>
      <c r="H68" s="292"/>
      <c r="I68" s="292"/>
      <c r="J68" s="292"/>
      <c r="K68" s="292"/>
      <c r="L68" s="292"/>
      <c r="M68" s="292"/>
      <c r="N68" s="292">
        <f t="shared" si="2"/>
        <v>0.5</v>
      </c>
      <c r="O68" s="296">
        <f t="shared" si="3"/>
        <v>2003.5</v>
      </c>
      <c r="P68" s="297">
        <f ca="1">VLOOKUP(INT(O68),'Exhibit 7.1'!$A$1:$I$128,9)*N68+(1-N68)*VLOOKUP(INT(O68)+1,'Exhibit 7.1'!$A$1:$I$128,9)</f>
        <v>0.40524744724199657</v>
      </c>
      <c r="Q68" s="296"/>
    </row>
    <row r="69" spans="1:17">
      <c r="A69" s="292"/>
      <c r="B69" s="292"/>
      <c r="C69" s="292"/>
      <c r="D69" s="292"/>
      <c r="E69" s="292"/>
      <c r="F69" s="292"/>
      <c r="G69" s="292"/>
      <c r="H69" s="292"/>
      <c r="I69" s="292"/>
      <c r="J69" s="292"/>
      <c r="K69" s="292"/>
      <c r="L69" s="292"/>
      <c r="M69" s="292"/>
      <c r="N69" s="292">
        <f t="shared" si="2"/>
        <v>0.25</v>
      </c>
      <c r="O69" s="296">
        <f t="shared" si="3"/>
        <v>2003.75</v>
      </c>
      <c r="P69" s="297">
        <f ca="1">VLOOKUP(INT(O69),'Exhibit 7.1'!$A$1:$I$128,9)*N69+(1-N69)*VLOOKUP(INT(O69)+1,'Exhibit 7.1'!$A$1:$I$128,9)</f>
        <v>0.39429556354923256</v>
      </c>
      <c r="Q69" s="296"/>
    </row>
    <row r="70" spans="1:17">
      <c r="A70" s="292"/>
      <c r="B70" s="292"/>
      <c r="C70" s="292"/>
      <c r="D70" s="292"/>
      <c r="E70" s="292"/>
      <c r="F70" s="292"/>
      <c r="G70" s="292"/>
      <c r="H70" s="292"/>
      <c r="I70" s="292"/>
      <c r="J70" s="292"/>
      <c r="K70" s="292"/>
      <c r="L70" s="292"/>
      <c r="M70" s="292"/>
      <c r="N70" s="292">
        <f t="shared" si="2"/>
        <v>1</v>
      </c>
      <c r="O70" s="296">
        <f t="shared" si="3"/>
        <v>2004</v>
      </c>
      <c r="P70" s="297">
        <f ca="1">VLOOKUP(INT(O70),'Exhibit 7.1'!$A$1:$I$128,9)*N70+(1-N70)*VLOOKUP(INT(O70)+1,'Exhibit 7.1'!$A$1:$I$128,9)</f>
        <v>0.3833436798564685</v>
      </c>
      <c r="Q70" s="296"/>
    </row>
    <row r="71" spans="1:17">
      <c r="A71" s="292"/>
      <c r="B71" s="292"/>
      <c r="C71" s="292"/>
      <c r="D71" s="292"/>
      <c r="E71" s="292"/>
      <c r="F71" s="292"/>
      <c r="G71" s="292"/>
      <c r="H71" s="292"/>
      <c r="I71" s="292"/>
      <c r="J71" s="292"/>
      <c r="K71" s="292"/>
      <c r="L71" s="292"/>
      <c r="M71" s="292"/>
      <c r="N71" s="292">
        <f t="shared" si="2"/>
        <v>0.75</v>
      </c>
      <c r="O71" s="296">
        <f t="shared" si="3"/>
        <v>2004.25</v>
      </c>
      <c r="P71" s="297">
        <f ca="1">VLOOKUP(INT(O71),'Exhibit 7.1'!$A$1:$I$128,9)*N71+(1-N71)*VLOOKUP(INT(O71)+1,'Exhibit 7.1'!$A$1:$I$128,9)</f>
        <v>0.3880413544740754</v>
      </c>
      <c r="Q71" s="296"/>
    </row>
    <row r="72" spans="1:17">
      <c r="A72" s="292"/>
      <c r="B72" s="292"/>
      <c r="C72" s="292"/>
      <c r="D72" s="292"/>
      <c r="E72" s="292"/>
      <c r="F72" s="292"/>
      <c r="G72" s="292"/>
      <c r="H72" s="292"/>
      <c r="I72" s="292"/>
      <c r="J72" s="292"/>
      <c r="K72" s="292"/>
      <c r="L72" s="292"/>
      <c r="M72" s="292"/>
      <c r="N72" s="292">
        <f t="shared" si="2"/>
        <v>0.5</v>
      </c>
      <c r="O72" s="296">
        <f t="shared" si="3"/>
        <v>2004.5</v>
      </c>
      <c r="P72" s="297">
        <f ca="1">VLOOKUP(INT(O72),'Exhibit 7.1'!$A$1:$I$128,9)*N72+(1-N72)*VLOOKUP(INT(O72)+1,'Exhibit 7.1'!$A$1:$I$128,9)</f>
        <v>0.39273902909168229</v>
      </c>
      <c r="Q72" s="296"/>
    </row>
    <row r="73" spans="1:17">
      <c r="A73" s="292"/>
      <c r="B73" s="292"/>
      <c r="C73" s="292"/>
      <c r="D73" s="292"/>
      <c r="E73" s="292"/>
      <c r="F73" s="292"/>
      <c r="G73" s="292"/>
      <c r="H73" s="292"/>
      <c r="I73" s="292"/>
      <c r="J73" s="292"/>
      <c r="K73" s="292"/>
      <c r="L73" s="292"/>
      <c r="M73" s="292"/>
      <c r="N73" s="292">
        <f t="shared" si="2"/>
        <v>0.25</v>
      </c>
      <c r="O73" s="296">
        <f t="shared" si="3"/>
        <v>2004.75</v>
      </c>
      <c r="P73" s="297">
        <f ca="1">VLOOKUP(INT(O73),'Exhibit 7.1'!$A$1:$I$128,9)*N73+(1-N73)*VLOOKUP(INT(O73)+1,'Exhibit 7.1'!$A$1:$I$128,9)</f>
        <v>0.39743670370928919</v>
      </c>
      <c r="Q73" s="296"/>
    </row>
    <row r="74" spans="1:17">
      <c r="A74" s="292"/>
      <c r="B74" s="292"/>
      <c r="C74" s="292"/>
      <c r="D74" s="292"/>
      <c r="E74" s="292"/>
      <c r="F74" s="292"/>
      <c r="G74" s="292"/>
      <c r="H74" s="292"/>
      <c r="I74" s="292"/>
      <c r="J74" s="292"/>
      <c r="K74" s="292"/>
      <c r="L74" s="292"/>
      <c r="M74" s="292"/>
      <c r="N74" s="292">
        <f t="shared" si="2"/>
        <v>1</v>
      </c>
      <c r="O74" s="296">
        <f t="shared" si="3"/>
        <v>2005</v>
      </c>
      <c r="P74" s="297">
        <f ca="1">VLOOKUP(INT(O74),'Exhibit 7.1'!$A$1:$I$128,9)*N74+(1-N74)*VLOOKUP(INT(O74)+1,'Exhibit 7.1'!$A$1:$I$128,9)</f>
        <v>0.40213437832689608</v>
      </c>
      <c r="Q74" s="296"/>
    </row>
    <row r="75" spans="1:17">
      <c r="A75" s="292"/>
      <c r="B75" s="292"/>
      <c r="C75" s="292"/>
      <c r="D75" s="292"/>
      <c r="E75" s="292"/>
      <c r="F75" s="292"/>
      <c r="G75" s="292"/>
      <c r="H75" s="292"/>
      <c r="I75" s="292"/>
      <c r="J75" s="292"/>
      <c r="K75" s="292"/>
      <c r="L75" s="292"/>
      <c r="M75" s="292"/>
      <c r="N75" s="292">
        <f t="shared" si="2"/>
        <v>0.75</v>
      </c>
      <c r="O75" s="296">
        <f t="shared" si="3"/>
        <v>2005.25</v>
      </c>
      <c r="P75" s="297">
        <f ca="1">VLOOKUP(INT(O75),'Exhibit 7.1'!$A$1:$I$128,9)*N75+(1-N75)*VLOOKUP(INT(O75)+1,'Exhibit 7.1'!$A$1:$I$128,9)</f>
        <v>0.40092074791985288</v>
      </c>
      <c r="Q75" s="296"/>
    </row>
    <row r="76" spans="1:17">
      <c r="A76" s="292"/>
      <c r="B76" s="292"/>
      <c r="C76" s="292"/>
      <c r="D76" s="292"/>
      <c r="E76" s="292"/>
      <c r="F76" s="292"/>
      <c r="G76" s="292"/>
      <c r="H76" s="292"/>
      <c r="I76" s="292"/>
      <c r="J76" s="292"/>
      <c r="K76" s="292"/>
      <c r="L76" s="292"/>
      <c r="M76" s="292"/>
      <c r="N76" s="292">
        <f t="shared" si="2"/>
        <v>0.5</v>
      </c>
      <c r="O76" s="296">
        <f t="shared" si="3"/>
        <v>2005.5</v>
      </c>
      <c r="P76" s="297">
        <f ca="1">VLOOKUP(INT(O76),'Exhibit 7.1'!$A$1:$I$128,9)*N76+(1-N76)*VLOOKUP(INT(O76)+1,'Exhibit 7.1'!$A$1:$I$128,9)</f>
        <v>0.39970711751280968</v>
      </c>
      <c r="Q76" s="296"/>
    </row>
    <row r="77" spans="1:17">
      <c r="A77" s="292"/>
      <c r="B77" s="292"/>
      <c r="C77" s="292"/>
      <c r="D77" s="292"/>
      <c r="E77" s="292"/>
      <c r="F77" s="292"/>
      <c r="G77" s="292"/>
      <c r="H77" s="292"/>
      <c r="I77" s="292"/>
      <c r="J77" s="292"/>
      <c r="K77" s="292"/>
      <c r="L77" s="292"/>
      <c r="M77" s="292"/>
      <c r="N77" s="292">
        <f t="shared" si="2"/>
        <v>0.25</v>
      </c>
      <c r="O77" s="296">
        <f t="shared" si="3"/>
        <v>2005.75</v>
      </c>
      <c r="P77" s="297">
        <f ca="1">VLOOKUP(INT(O77),'Exhibit 7.1'!$A$1:$I$128,9)*N77+(1-N77)*VLOOKUP(INT(O77)+1,'Exhibit 7.1'!$A$1:$I$128,9)</f>
        <v>0.39849348710576649</v>
      </c>
      <c r="Q77" s="296"/>
    </row>
    <row r="78" spans="1:17">
      <c r="A78" s="292"/>
      <c r="B78" s="292"/>
      <c r="C78" s="292"/>
      <c r="D78" s="292"/>
      <c r="E78" s="292"/>
      <c r="F78" s="292"/>
      <c r="G78" s="292"/>
      <c r="H78" s="292"/>
      <c r="I78" s="292"/>
      <c r="J78" s="292"/>
      <c r="K78" s="292"/>
      <c r="L78" s="292"/>
      <c r="M78" s="292"/>
      <c r="N78" s="292">
        <f t="shared" si="2"/>
        <v>1</v>
      </c>
      <c r="O78" s="296">
        <f t="shared" si="3"/>
        <v>2006</v>
      </c>
      <c r="P78" s="297">
        <f ca="1">VLOOKUP(INT(O78),'Exhibit 7.1'!$A$1:$I$128,9)*N78+(1-N78)*VLOOKUP(INT(O78)+1,'Exhibit 7.1'!$A$1:$I$128,9)</f>
        <v>0.39727985669872329</v>
      </c>
      <c r="Q78" s="296"/>
    </row>
    <row r="79" spans="1:17">
      <c r="A79" s="292"/>
      <c r="B79" s="292"/>
      <c r="C79" s="292"/>
      <c r="D79" s="292"/>
      <c r="E79" s="292"/>
      <c r="F79" s="292"/>
      <c r="G79" s="292"/>
      <c r="H79" s="292"/>
      <c r="I79" s="292"/>
      <c r="J79" s="292"/>
      <c r="K79" s="292"/>
      <c r="L79" s="292"/>
      <c r="M79" s="292"/>
      <c r="N79" s="292">
        <f t="shared" si="2"/>
        <v>0.75</v>
      </c>
      <c r="O79" s="296">
        <f t="shared" si="3"/>
        <v>2006.25</v>
      </c>
      <c r="P79" s="297">
        <f ca="1">VLOOKUP(INT(O79),'Exhibit 7.1'!$A$1:$I$128,9)*N79+(1-N79)*VLOOKUP(INT(O79)+1,'Exhibit 7.1'!$A$1:$I$128,9)</f>
        <v>0.40132161098758973</v>
      </c>
      <c r="Q79" s="296"/>
    </row>
    <row r="80" spans="1:17">
      <c r="A80" s="292"/>
      <c r="B80" s="292"/>
      <c r="C80" s="292"/>
      <c r="D80" s="292"/>
      <c r="E80" s="292"/>
      <c r="F80" s="292"/>
      <c r="G80" s="292"/>
      <c r="H80" s="292"/>
      <c r="I80" s="292"/>
      <c r="J80" s="292"/>
      <c r="K80" s="292"/>
      <c r="L80" s="292"/>
      <c r="M80" s="292"/>
      <c r="N80" s="292">
        <f t="shared" si="2"/>
        <v>0.5</v>
      </c>
      <c r="O80" s="296">
        <f t="shared" si="3"/>
        <v>2006.5</v>
      </c>
      <c r="P80" s="297">
        <f ca="1">VLOOKUP(INT(O80),'Exhibit 7.1'!$A$1:$I$128,9)*N80+(1-N80)*VLOOKUP(INT(O80)+1,'Exhibit 7.1'!$A$1:$I$128,9)</f>
        <v>0.40536336527645611</v>
      </c>
      <c r="Q80" s="296"/>
    </row>
    <row r="81" spans="1:17">
      <c r="A81" s="292"/>
      <c r="B81" s="292"/>
      <c r="C81" s="292"/>
      <c r="D81" s="292"/>
      <c r="E81" s="292"/>
      <c r="F81" s="292"/>
      <c r="G81" s="292"/>
      <c r="H81" s="292"/>
      <c r="I81" s="292"/>
      <c r="J81" s="292"/>
      <c r="K81" s="292"/>
      <c r="L81" s="292"/>
      <c r="M81" s="292"/>
      <c r="N81" s="292">
        <f t="shared" si="2"/>
        <v>0.25</v>
      </c>
      <c r="O81" s="296">
        <f t="shared" si="3"/>
        <v>2006.75</v>
      </c>
      <c r="P81" s="297">
        <f ca="1">VLOOKUP(INT(O81),'Exhibit 7.1'!$A$1:$I$128,9)*N81+(1-N81)*VLOOKUP(INT(O81)+1,'Exhibit 7.1'!$A$1:$I$128,9)</f>
        <v>0.4094051195653225</v>
      </c>
      <c r="Q81" s="296"/>
    </row>
    <row r="82" spans="1:17">
      <c r="A82" s="292"/>
      <c r="B82" s="292"/>
      <c r="C82" s="292"/>
      <c r="D82" s="292"/>
      <c r="E82" s="292"/>
      <c r="F82" s="292"/>
      <c r="G82" s="292"/>
      <c r="H82" s="292"/>
      <c r="I82" s="292"/>
      <c r="J82" s="292"/>
      <c r="K82" s="292"/>
      <c r="L82" s="292"/>
      <c r="M82" s="292"/>
      <c r="N82" s="292">
        <f t="shared" si="2"/>
        <v>1</v>
      </c>
      <c r="O82" s="296">
        <f t="shared" si="3"/>
        <v>2007</v>
      </c>
      <c r="P82" s="297">
        <f ca="1">VLOOKUP(INT(O82),'Exhibit 7.1'!$A$1:$I$128,9)*N82+(1-N82)*VLOOKUP(INT(O82)+1,'Exhibit 7.1'!$A$1:$I$128,9)</f>
        <v>0.41344687385418893</v>
      </c>
      <c r="Q82" s="296"/>
    </row>
    <row r="83" spans="1:17">
      <c r="A83" s="292"/>
      <c r="B83" s="292"/>
      <c r="C83" s="292"/>
      <c r="D83" s="292"/>
      <c r="E83" s="292"/>
      <c r="F83" s="292"/>
      <c r="G83" s="292"/>
      <c r="H83" s="292"/>
      <c r="I83" s="292"/>
      <c r="J83" s="292"/>
      <c r="K83" s="292"/>
      <c r="L83" s="292"/>
      <c r="M83" s="292"/>
      <c r="N83" s="292">
        <f t="shared" si="2"/>
        <v>0.75</v>
      </c>
      <c r="O83" s="296">
        <f t="shared" si="3"/>
        <v>2007.25</v>
      </c>
      <c r="P83" s="297">
        <f ca="1">VLOOKUP(INT(O83),'Exhibit 7.1'!$A$1:$I$128,9)*N83+(1-N83)*VLOOKUP(INT(O83)+1,'Exhibit 7.1'!$A$1:$I$128,9)</f>
        <v>0.41184846471380782</v>
      </c>
      <c r="Q83" s="296"/>
    </row>
    <row r="84" spans="1:17">
      <c r="A84" s="292"/>
      <c r="B84" s="292"/>
      <c r="C84" s="292"/>
      <c r="D84" s="292"/>
      <c r="E84" s="292"/>
      <c r="F84" s="292"/>
      <c r="G84" s="292"/>
      <c r="H84" s="292"/>
      <c r="I84" s="292"/>
      <c r="J84" s="292"/>
      <c r="K84" s="292"/>
      <c r="L84" s="292"/>
      <c r="M84" s="292"/>
      <c r="N84" s="292">
        <f t="shared" si="2"/>
        <v>0.5</v>
      </c>
      <c r="O84" s="296">
        <f t="shared" si="3"/>
        <v>2007.5</v>
      </c>
      <c r="P84" s="297">
        <f ca="1">VLOOKUP(INT(O84),'Exhibit 7.1'!$A$1:$I$128,9)*N84+(1-N84)*VLOOKUP(INT(O84)+1,'Exhibit 7.1'!$A$1:$I$128,9)</f>
        <v>0.41025005557342675</v>
      </c>
      <c r="Q84" s="296"/>
    </row>
    <row r="85" spans="1:17">
      <c r="A85" s="292"/>
      <c r="B85" s="292"/>
      <c r="C85" s="292"/>
      <c r="D85" s="292"/>
      <c r="E85" s="292"/>
      <c r="F85" s="292"/>
      <c r="G85" s="292"/>
      <c r="H85" s="292"/>
      <c r="I85" s="292"/>
      <c r="J85" s="292"/>
      <c r="K85" s="292"/>
      <c r="L85" s="292"/>
      <c r="M85" s="292"/>
      <c r="N85" s="292">
        <f t="shared" si="2"/>
        <v>0.25</v>
      </c>
      <c r="O85" s="296">
        <f t="shared" si="3"/>
        <v>2007.75</v>
      </c>
      <c r="P85" s="297">
        <f ca="1">VLOOKUP(INT(O85),'Exhibit 7.1'!$A$1:$I$128,9)*N85+(1-N85)*VLOOKUP(INT(O85)+1,'Exhibit 7.1'!$A$1:$I$128,9)</f>
        <v>0.40865164643304563</v>
      </c>
      <c r="Q85" s="296"/>
    </row>
    <row r="86" spans="1:17">
      <c r="A86" s="292"/>
      <c r="B86" s="292"/>
      <c r="C86" s="292"/>
      <c r="D86" s="292"/>
      <c r="E86" s="292"/>
      <c r="F86" s="292"/>
      <c r="G86" s="292"/>
      <c r="H86" s="292"/>
      <c r="I86" s="292"/>
      <c r="J86" s="292"/>
      <c r="K86" s="292"/>
      <c r="L86" s="292"/>
      <c r="M86" s="292"/>
      <c r="N86" s="292">
        <f t="shared" si="2"/>
        <v>1</v>
      </c>
      <c r="O86" s="296">
        <f t="shared" si="3"/>
        <v>2008</v>
      </c>
      <c r="P86" s="297">
        <f ca="1">VLOOKUP(INT(O86),'Exhibit 7.1'!$A$1:$I$128,9)*N86+(1-N86)*VLOOKUP(INT(O86)+1,'Exhibit 7.1'!$A$1:$I$128,9)</f>
        <v>0.40705323729266452</v>
      </c>
      <c r="Q86" s="296"/>
    </row>
    <row r="87" spans="1:17">
      <c r="A87" s="292"/>
      <c r="B87" s="292"/>
      <c r="C87" s="292"/>
      <c r="D87" s="292"/>
      <c r="E87" s="292"/>
      <c r="F87" s="292"/>
      <c r="G87" s="292"/>
      <c r="H87" s="292"/>
      <c r="I87" s="292"/>
      <c r="J87" s="292"/>
      <c r="K87" s="292"/>
      <c r="L87" s="292"/>
      <c r="M87" s="292"/>
      <c r="N87" s="292">
        <f t="shared" si="2"/>
        <v>0.75</v>
      </c>
      <c r="O87" s="296">
        <f t="shared" si="3"/>
        <v>2008.25</v>
      </c>
      <c r="P87" s="297">
        <f ca="1">VLOOKUP(INT(O87),'Exhibit 7.1'!$A$1:$I$128,9)*N87+(1-N87)*VLOOKUP(INT(O87)+1,'Exhibit 7.1'!$A$1:$I$128,9)</f>
        <v>0.41365830489483651</v>
      </c>
      <c r="Q87" s="296"/>
    </row>
    <row r="88" spans="1:17">
      <c r="A88" s="292"/>
      <c r="B88" s="292"/>
      <c r="C88" s="292"/>
      <c r="D88" s="292"/>
      <c r="E88" s="292"/>
      <c r="F88" s="292"/>
      <c r="G88" s="292"/>
      <c r="H88" s="292"/>
      <c r="I88" s="292"/>
      <c r="J88" s="292"/>
      <c r="K88" s="292"/>
      <c r="L88" s="292"/>
      <c r="M88" s="292"/>
      <c r="N88" s="292">
        <f t="shared" si="2"/>
        <v>0.5</v>
      </c>
      <c r="O88" s="296">
        <f t="shared" si="3"/>
        <v>2008.5</v>
      </c>
      <c r="P88" s="297">
        <f ca="1">VLOOKUP(INT(O88),'Exhibit 7.1'!$A$1:$I$128,9)*N88+(1-N88)*VLOOKUP(INT(O88)+1,'Exhibit 7.1'!$A$1:$I$128,9)</f>
        <v>0.42026337249700851</v>
      </c>
      <c r="Q88" s="296"/>
    </row>
    <row r="89" spans="1:17">
      <c r="A89" s="292"/>
      <c r="B89" s="292"/>
      <c r="C89" s="292"/>
      <c r="D89" s="292"/>
      <c r="E89" s="292"/>
      <c r="F89" s="292"/>
      <c r="G89" s="292"/>
      <c r="H89" s="292"/>
      <c r="I89" s="292"/>
      <c r="J89" s="292"/>
      <c r="K89" s="292"/>
      <c r="L89" s="292"/>
      <c r="M89" s="292"/>
      <c r="N89" s="292">
        <f t="shared" si="2"/>
        <v>0.25</v>
      </c>
      <c r="O89" s="296">
        <f t="shared" si="3"/>
        <v>2008.75</v>
      </c>
      <c r="P89" s="297">
        <f ca="1">VLOOKUP(INT(O89),'Exhibit 7.1'!$A$1:$I$128,9)*N89+(1-N89)*VLOOKUP(INT(O89)+1,'Exhibit 7.1'!$A$1:$I$128,9)</f>
        <v>0.42686844009918046</v>
      </c>
      <c r="Q89" s="296"/>
    </row>
    <row r="90" spans="1:17">
      <c r="A90" s="292"/>
      <c r="B90" s="292"/>
      <c r="C90" s="292"/>
      <c r="D90" s="292"/>
      <c r="E90" s="292"/>
      <c r="F90" s="292"/>
      <c r="G90" s="292"/>
      <c r="H90" s="292"/>
      <c r="I90" s="292"/>
      <c r="J90" s="292"/>
      <c r="K90" s="292"/>
      <c r="L90" s="292"/>
      <c r="M90" s="292"/>
      <c r="N90" s="292">
        <f t="shared" si="2"/>
        <v>1</v>
      </c>
      <c r="O90" s="296">
        <f t="shared" si="3"/>
        <v>2009</v>
      </c>
      <c r="P90" s="297">
        <f ca="1">VLOOKUP(INT(O90),'Exhibit 7.1'!$A$1:$I$128,9)*N90+(1-N90)*VLOOKUP(INT(O90)+1,'Exhibit 7.1'!$A$1:$I$128,9)</f>
        <v>0.43347350770135246</v>
      </c>
      <c r="Q90" s="296"/>
    </row>
    <row r="91" spans="1:17">
      <c r="A91" s="292"/>
      <c r="B91" s="292"/>
      <c r="C91" s="292"/>
      <c r="D91" s="292"/>
      <c r="E91" s="292"/>
      <c r="F91" s="292"/>
      <c r="G91" s="292"/>
      <c r="H91" s="292"/>
      <c r="I91" s="292"/>
      <c r="J91" s="292"/>
      <c r="K91" s="292"/>
      <c r="L91" s="292"/>
      <c r="M91" s="292"/>
      <c r="N91" s="292">
        <f t="shared" si="2"/>
        <v>0.75</v>
      </c>
      <c r="O91" s="296">
        <f t="shared" si="3"/>
        <v>2009.25</v>
      </c>
      <c r="P91" s="297">
        <f ca="1">VLOOKUP(INT(O91),'Exhibit 7.1'!$A$1:$I$128,9)*N91+(1-N91)*VLOOKUP(INT(O91)+1,'Exhibit 7.1'!$A$1:$I$128,9)</f>
        <v>0.43793315404715621</v>
      </c>
      <c r="Q91" s="296"/>
    </row>
    <row r="92" spans="1:17">
      <c r="A92" s="292"/>
      <c r="B92" s="292"/>
      <c r="C92" s="292"/>
      <c r="D92" s="292"/>
      <c r="E92" s="292"/>
      <c r="F92" s="292"/>
      <c r="G92" s="292"/>
      <c r="H92" s="292"/>
      <c r="I92" s="292"/>
      <c r="J92" s="292"/>
      <c r="K92" s="292"/>
      <c r="L92" s="292"/>
      <c r="M92" s="292"/>
      <c r="N92" s="292">
        <f t="shared" si="2"/>
        <v>0.5</v>
      </c>
      <c r="O92" s="296">
        <f t="shared" si="3"/>
        <v>2009.5</v>
      </c>
      <c r="P92" s="297">
        <f ca="1">VLOOKUP(INT(O92),'Exhibit 7.1'!$A$1:$I$128,9)*N92+(1-N92)*VLOOKUP(INT(O92)+1,'Exhibit 7.1'!$A$1:$I$128,9)</f>
        <v>0.44239280039296003</v>
      </c>
      <c r="Q92" s="296"/>
    </row>
    <row r="93" spans="1:17">
      <c r="A93" s="292"/>
      <c r="B93" s="292"/>
      <c r="C93" s="292"/>
      <c r="D93" s="292"/>
      <c r="E93" s="292"/>
      <c r="F93" s="292"/>
      <c r="G93" s="292"/>
      <c r="H93" s="292"/>
      <c r="I93" s="292"/>
      <c r="J93" s="292"/>
      <c r="K93" s="292"/>
      <c r="L93" s="292"/>
      <c r="M93" s="292"/>
      <c r="N93" s="292">
        <f t="shared" si="2"/>
        <v>0.25</v>
      </c>
      <c r="O93" s="296">
        <f t="shared" si="3"/>
        <v>2009.75</v>
      </c>
      <c r="P93" s="297">
        <f ca="1">VLOOKUP(INT(O93),'Exhibit 7.1'!$A$1:$I$128,9)*N93+(1-N93)*VLOOKUP(INT(O93)+1,'Exhibit 7.1'!$A$1:$I$128,9)</f>
        <v>0.44685244673876379</v>
      </c>
      <c r="Q93" s="296"/>
    </row>
    <row r="94" spans="1:17">
      <c r="A94" s="292"/>
      <c r="B94" s="292"/>
      <c r="C94" s="292"/>
      <c r="D94" s="292"/>
      <c r="E94" s="292"/>
      <c r="F94" s="292"/>
      <c r="G94" s="292"/>
      <c r="H94" s="292"/>
      <c r="I94" s="292"/>
      <c r="J94" s="292"/>
      <c r="K94" s="292"/>
      <c r="L94" s="292"/>
      <c r="M94" s="292"/>
      <c r="N94" s="292">
        <f t="shared" si="2"/>
        <v>1</v>
      </c>
      <c r="O94" s="296">
        <f t="shared" si="3"/>
        <v>2010</v>
      </c>
      <c r="P94" s="297">
        <f ca="1">VLOOKUP(INT(O94),'Exhibit 7.1'!$A$1:$I$128,9)*N94+(1-N94)*VLOOKUP(INT(O94)+1,'Exhibit 7.1'!$A$1:$I$128,9)</f>
        <v>0.45131209308456754</v>
      </c>
      <c r="Q94" s="296"/>
    </row>
    <row r="95" spans="1:17">
      <c r="A95" s="292"/>
      <c r="B95" s="292"/>
      <c r="C95" s="292"/>
      <c r="D95" s="292"/>
      <c r="E95" s="292"/>
      <c r="F95" s="292"/>
      <c r="G95" s="292"/>
      <c r="H95" s="292"/>
      <c r="I95" s="292"/>
      <c r="J95" s="292"/>
      <c r="K95" s="292"/>
      <c r="L95" s="292"/>
      <c r="M95" s="292"/>
      <c r="N95" s="292">
        <f t="shared" si="2"/>
        <v>0.75</v>
      </c>
      <c r="O95" s="296">
        <f t="shared" si="3"/>
        <v>2010.25</v>
      </c>
      <c r="P95" s="297">
        <f ca="1">VLOOKUP(INT(O95),'Exhibit 7.1'!$A$1:$I$128,9)*N95+(1-N95)*VLOOKUP(INT(O95)+1,'Exhibit 7.1'!$A$1:$I$128,9)</f>
        <v>0.45193472899803522</v>
      </c>
      <c r="Q95" s="296"/>
    </row>
    <row r="96" spans="1:17">
      <c r="A96" s="292"/>
      <c r="B96" s="292"/>
      <c r="C96" s="292"/>
      <c r="D96" s="292"/>
      <c r="E96" s="292"/>
      <c r="F96" s="292"/>
      <c r="G96" s="292"/>
      <c r="H96" s="292"/>
      <c r="I96" s="292"/>
      <c r="J96" s="292"/>
      <c r="K96" s="292"/>
      <c r="L96" s="292"/>
      <c r="M96" s="292"/>
      <c r="N96" s="292">
        <f t="shared" si="2"/>
        <v>0.5</v>
      </c>
      <c r="O96" s="296">
        <f t="shared" si="3"/>
        <v>2010.5</v>
      </c>
      <c r="P96" s="297">
        <f ca="1">VLOOKUP(INT(O96),'Exhibit 7.1'!$A$1:$I$128,9)*N96+(1-N96)*VLOOKUP(INT(O96)+1,'Exhibit 7.1'!$A$1:$I$128,9)</f>
        <v>0.45255736491150289</v>
      </c>
      <c r="Q96" s="296"/>
    </row>
    <row r="97" spans="1:17">
      <c r="A97" s="292"/>
      <c r="B97" s="292"/>
      <c r="C97" s="292"/>
      <c r="D97" s="292"/>
      <c r="E97" s="292"/>
      <c r="F97" s="292"/>
      <c r="G97" s="292"/>
      <c r="H97" s="292"/>
      <c r="I97" s="292"/>
      <c r="J97" s="292"/>
      <c r="K97" s="292"/>
      <c r="L97" s="292"/>
      <c r="M97" s="292"/>
      <c r="N97" s="292">
        <f t="shared" si="2"/>
        <v>0.25</v>
      </c>
      <c r="O97" s="296">
        <f t="shared" si="3"/>
        <v>2010.75</v>
      </c>
      <c r="P97" s="297">
        <f ca="1">VLOOKUP(INT(O97),'Exhibit 7.1'!$A$1:$I$128,9)*N97+(1-N97)*VLOOKUP(INT(O97)+1,'Exhibit 7.1'!$A$1:$I$128,9)</f>
        <v>0.45318000082497056</v>
      </c>
      <c r="Q97" s="296"/>
    </row>
    <row r="98" spans="1:17">
      <c r="A98" s="292"/>
      <c r="B98" s="292"/>
      <c r="C98" s="292"/>
      <c r="D98" s="292"/>
      <c r="E98" s="292"/>
      <c r="F98" s="292"/>
      <c r="G98" s="292"/>
      <c r="H98" s="292"/>
      <c r="I98" s="292"/>
      <c r="J98" s="292"/>
      <c r="K98" s="292"/>
      <c r="L98" s="292"/>
      <c r="M98" s="292"/>
      <c r="N98" s="292">
        <f t="shared" si="2"/>
        <v>1</v>
      </c>
      <c r="O98" s="296">
        <v>2011</v>
      </c>
      <c r="P98" s="297">
        <f ca="1">VLOOKUP(INT(O98),'Exhibit 7.1'!$A$1:$I$128,9)*N98+(1-N98)*VLOOKUP(INT(O98)+1,'Exhibit 7.1'!$A$1:$I$128,9)</f>
        <v>0.45380263673843824</v>
      </c>
      <c r="Q98" s="296"/>
    </row>
    <row r="99" spans="1:17">
      <c r="A99" s="292"/>
      <c r="B99" s="292"/>
      <c r="C99" s="292"/>
      <c r="D99" s="292"/>
      <c r="E99" s="292"/>
      <c r="F99" s="292"/>
      <c r="G99" s="292"/>
      <c r="H99" s="292"/>
      <c r="I99" s="292"/>
      <c r="J99" s="292"/>
      <c r="K99" s="292"/>
      <c r="L99" s="292"/>
      <c r="M99" s="292"/>
      <c r="N99" s="292">
        <f t="shared" si="2"/>
        <v>0.75</v>
      </c>
      <c r="O99" s="296">
        <f t="shared" ref="O99:O152" si="4">+O98+0.25</f>
        <v>2011.25</v>
      </c>
      <c r="P99" s="297">
        <f ca="1">VLOOKUP(INT(O99),'Exhibit 7.1'!$A$1:$I$128,9)*N99+(1-N99)*VLOOKUP(INT(O99)+1,'Exhibit 7.1'!$A$1:$I$128,9)</f>
        <v>0.45291039277427381</v>
      </c>
      <c r="Q99" s="296"/>
    </row>
    <row r="100" spans="1:17">
      <c r="A100" s="292"/>
      <c r="B100" s="292"/>
      <c r="C100" s="292"/>
      <c r="D100" s="292"/>
      <c r="E100" s="292"/>
      <c r="F100" s="292"/>
      <c r="G100" s="292"/>
      <c r="H100" s="292"/>
      <c r="I100" s="292"/>
      <c r="J100" s="292"/>
      <c r="K100" s="292"/>
      <c r="L100" s="292"/>
      <c r="M100" s="292"/>
      <c r="N100" s="292">
        <f t="shared" si="2"/>
        <v>0.5</v>
      </c>
      <c r="O100" s="296">
        <f t="shared" si="4"/>
        <v>2011.5</v>
      </c>
      <c r="P100" s="297">
        <f ca="1">VLOOKUP(INT(O100),'Exhibit 7.1'!$A$1:$I$128,9)*N100+(1-N100)*VLOOKUP(INT(O100)+1,'Exhibit 7.1'!$A$1:$I$128,9)</f>
        <v>0.45201814881010938</v>
      </c>
      <c r="Q100" s="296"/>
    </row>
    <row r="101" spans="1:17">
      <c r="A101" s="292"/>
      <c r="B101" s="292"/>
      <c r="C101" s="292"/>
      <c r="D101" s="292"/>
      <c r="E101" s="292"/>
      <c r="F101" s="292"/>
      <c r="G101" s="292"/>
      <c r="H101" s="292"/>
      <c r="I101" s="292"/>
      <c r="J101" s="292"/>
      <c r="K101" s="292"/>
      <c r="L101" s="292"/>
      <c r="M101" s="292"/>
      <c r="N101" s="292">
        <f t="shared" si="2"/>
        <v>0.25</v>
      </c>
      <c r="O101" s="296">
        <f t="shared" si="4"/>
        <v>2011.75</v>
      </c>
      <c r="P101" s="297">
        <f ca="1">VLOOKUP(INT(O101),'Exhibit 7.1'!$A$1:$I$128,9)*N101+(1-N101)*VLOOKUP(INT(O101)+1,'Exhibit 7.1'!$A$1:$I$128,9)</f>
        <v>0.45112590484594489</v>
      </c>
      <c r="Q101" s="296"/>
    </row>
    <row r="102" spans="1:17">
      <c r="A102" s="292"/>
      <c r="B102" s="292"/>
      <c r="C102" s="292"/>
      <c r="D102" s="292"/>
      <c r="E102" s="292"/>
      <c r="F102" s="292"/>
      <c r="G102" s="292"/>
      <c r="H102" s="292"/>
      <c r="I102" s="292"/>
      <c r="J102" s="292"/>
      <c r="K102" s="292"/>
      <c r="L102" s="292"/>
      <c r="M102" s="292"/>
      <c r="N102" s="292">
        <f t="shared" si="2"/>
        <v>1</v>
      </c>
      <c r="O102" s="296">
        <f t="shared" si="4"/>
        <v>2012</v>
      </c>
      <c r="P102" s="297">
        <f ca="1">VLOOKUP(INT(O102),'Exhibit 7.1'!$A$1:$I$128,9)*N102+(1-N102)*VLOOKUP(INT(O102)+1,'Exhibit 7.1'!$A$1:$I$128,9)</f>
        <v>0.45023366088178046</v>
      </c>
      <c r="Q102" s="296"/>
    </row>
    <row r="103" spans="1:17">
      <c r="A103" s="292"/>
      <c r="B103" s="292"/>
      <c r="C103" s="292"/>
      <c r="D103" s="292"/>
      <c r="E103" s="292"/>
      <c r="F103" s="292"/>
      <c r="G103" s="292"/>
      <c r="H103" s="292"/>
      <c r="I103" s="292"/>
      <c r="J103" s="292"/>
      <c r="K103" s="292"/>
      <c r="L103" s="292"/>
      <c r="M103" s="292"/>
      <c r="N103" s="292">
        <f t="shared" si="2"/>
        <v>0.75</v>
      </c>
      <c r="O103" s="296">
        <f t="shared" si="4"/>
        <v>2012.25</v>
      </c>
      <c r="P103" s="297">
        <f ca="1">VLOOKUP(INT(O103),'Exhibit 7.1'!$A$1:$I$128,9)*N103+(1-N103)*VLOOKUP(INT(O103)+1,'Exhibit 7.1'!$A$1:$I$128,9)</f>
        <v>0.44496373511941095</v>
      </c>
      <c r="Q103" s="296"/>
    </row>
    <row r="104" spans="1:17">
      <c r="A104" s="292"/>
      <c r="B104" s="292"/>
      <c r="C104" s="292"/>
      <c r="D104" s="292"/>
      <c r="E104" s="292"/>
      <c r="F104" s="292"/>
      <c r="G104" s="292"/>
      <c r="H104" s="292"/>
      <c r="I104" s="292"/>
      <c r="J104" s="292"/>
      <c r="K104" s="292"/>
      <c r="L104" s="292"/>
      <c r="M104" s="292"/>
      <c r="N104" s="292">
        <f t="shared" si="2"/>
        <v>0.5</v>
      </c>
      <c r="O104" s="296">
        <f t="shared" si="4"/>
        <v>2012.5</v>
      </c>
      <c r="P104" s="297">
        <f ca="1">VLOOKUP(INT(O104),'Exhibit 7.1'!$A$1:$I$128,9)*N104+(1-N104)*VLOOKUP(INT(O104)+1,'Exhibit 7.1'!$A$1:$I$128,9)</f>
        <v>0.4396938093570415</v>
      </c>
      <c r="Q104" s="296"/>
    </row>
    <row r="105" spans="1:17">
      <c r="A105" s="292"/>
      <c r="B105" s="292"/>
      <c r="C105" s="292"/>
      <c r="D105" s="292"/>
      <c r="E105" s="292"/>
      <c r="F105" s="292"/>
      <c r="G105" s="292"/>
      <c r="H105" s="292"/>
      <c r="I105" s="292"/>
      <c r="J105" s="292"/>
      <c r="K105" s="292"/>
      <c r="L105" s="292"/>
      <c r="M105" s="292"/>
      <c r="N105" s="292">
        <f t="shared" si="2"/>
        <v>0.25</v>
      </c>
      <c r="O105" s="296">
        <f t="shared" si="4"/>
        <v>2012.75</v>
      </c>
      <c r="P105" s="297">
        <f ca="1">VLOOKUP(INT(O105),'Exhibit 7.1'!$A$1:$I$128,9)*N105+(1-N105)*VLOOKUP(INT(O105)+1,'Exhibit 7.1'!$A$1:$I$128,9)</f>
        <v>0.43442388359467204</v>
      </c>
      <c r="Q105" s="296"/>
    </row>
    <row r="106" spans="1:17">
      <c r="A106" s="292"/>
      <c r="B106" s="292"/>
      <c r="C106" s="292"/>
      <c r="D106" s="292"/>
      <c r="E106" s="292"/>
      <c r="F106" s="292"/>
      <c r="G106" s="292"/>
      <c r="H106" s="292"/>
      <c r="I106" s="292"/>
      <c r="J106" s="292"/>
      <c r="K106" s="292"/>
      <c r="L106" s="292"/>
      <c r="M106" s="292"/>
      <c r="N106" s="292">
        <f t="shared" si="2"/>
        <v>1</v>
      </c>
      <c r="O106" s="296">
        <f t="shared" si="4"/>
        <v>2013</v>
      </c>
      <c r="P106" s="297">
        <f ca="1">VLOOKUP(INT(O106),'Exhibit 7.1'!$A$1:$I$128,9)*N106+(1-N106)*VLOOKUP(INT(O106)+1,'Exhibit 7.1'!$A$1:$I$128,9)</f>
        <v>0.42915395783230254</v>
      </c>
      <c r="Q106" s="296"/>
    </row>
    <row r="107" spans="1:17">
      <c r="A107" s="292"/>
      <c r="B107" s="292"/>
      <c r="C107" s="292"/>
      <c r="D107" s="292"/>
      <c r="E107" s="292"/>
      <c r="F107" s="292"/>
      <c r="G107" s="292"/>
      <c r="H107" s="292"/>
      <c r="I107" s="292"/>
      <c r="J107" s="292"/>
      <c r="K107" s="292"/>
      <c r="L107" s="292"/>
      <c r="M107" s="292"/>
      <c r="N107" s="292">
        <f t="shared" si="2"/>
        <v>0.75</v>
      </c>
      <c r="O107" s="296">
        <f t="shared" si="4"/>
        <v>2013.25</v>
      </c>
      <c r="P107" s="297">
        <f ca="1">VLOOKUP(INT(O107),'Exhibit 7.1'!$A$1:$I$128,9)*N107+(1-N107)*VLOOKUP(INT(O107)+1,'Exhibit 7.1'!$A$1:$I$128,9)</f>
        <v>0.42304634991989304</v>
      </c>
      <c r="Q107" s="296"/>
    </row>
    <row r="108" spans="1:17">
      <c r="A108" s="292"/>
      <c r="B108" s="292"/>
      <c r="C108" s="292"/>
      <c r="D108" s="292"/>
      <c r="E108" s="292"/>
      <c r="F108" s="292"/>
      <c r="G108" s="292"/>
      <c r="H108" s="292"/>
      <c r="I108" s="292"/>
      <c r="J108" s="292"/>
      <c r="K108" s="292"/>
      <c r="L108" s="292"/>
      <c r="M108" s="292"/>
      <c r="N108" s="292">
        <f t="shared" si="2"/>
        <v>0.5</v>
      </c>
      <c r="O108" s="296">
        <f t="shared" si="4"/>
        <v>2013.5</v>
      </c>
      <c r="P108" s="297">
        <f ca="1">VLOOKUP(INT(O108),'Exhibit 7.1'!$A$1:$I$128,9)*N108+(1-N108)*VLOOKUP(INT(O108)+1,'Exhibit 7.1'!$A$1:$I$128,9)</f>
        <v>0.41693874200748349</v>
      </c>
      <c r="Q108" s="296"/>
    </row>
    <row r="109" spans="1:17">
      <c r="A109" s="292"/>
      <c r="B109" s="292"/>
      <c r="C109" s="292"/>
      <c r="D109" s="292"/>
      <c r="E109" s="292"/>
      <c r="F109" s="292"/>
      <c r="G109" s="292"/>
      <c r="H109" s="292"/>
      <c r="I109" s="292"/>
      <c r="J109" s="292"/>
      <c r="K109" s="292"/>
      <c r="L109" s="292"/>
      <c r="M109" s="292"/>
      <c r="N109" s="292">
        <f t="shared" si="2"/>
        <v>0.25</v>
      </c>
      <c r="O109" s="296">
        <f t="shared" si="4"/>
        <v>2013.75</v>
      </c>
      <c r="P109" s="297">
        <f ca="1">VLOOKUP(INT(O109),'Exhibit 7.1'!$A$1:$I$128,9)*N109+(1-N109)*VLOOKUP(INT(O109)+1,'Exhibit 7.1'!$A$1:$I$128,9)</f>
        <v>0.41083113409507399</v>
      </c>
      <c r="Q109" s="296"/>
    </row>
    <row r="110" spans="1:17">
      <c r="A110" s="292"/>
      <c r="B110" s="292"/>
      <c r="C110" s="292"/>
      <c r="D110" s="292"/>
      <c r="E110" s="292"/>
      <c r="F110" s="292"/>
      <c r="G110" s="292"/>
      <c r="H110" s="292"/>
      <c r="I110" s="292"/>
      <c r="J110" s="292"/>
      <c r="K110" s="292"/>
      <c r="L110" s="292"/>
      <c r="M110" s="292"/>
      <c r="N110" s="292">
        <f t="shared" si="2"/>
        <v>1</v>
      </c>
      <c r="O110" s="296">
        <f t="shared" si="4"/>
        <v>2014</v>
      </c>
      <c r="P110" s="297">
        <f ca="1">VLOOKUP(INT(O110),'Exhibit 7.1'!$A$1:$I$128,9)*N110+(1-N110)*VLOOKUP(INT(O110)+1,'Exhibit 7.1'!$A$1:$I$128,9)</f>
        <v>0.40472352618266449</v>
      </c>
      <c r="Q110" s="296"/>
    </row>
    <row r="111" spans="1:17">
      <c r="A111" s="292"/>
      <c r="B111" s="292"/>
      <c r="C111" s="292"/>
      <c r="D111" s="292"/>
      <c r="E111" s="292"/>
      <c r="F111" s="292"/>
      <c r="G111" s="292"/>
      <c r="H111" s="292"/>
      <c r="I111" s="292"/>
      <c r="J111" s="292"/>
      <c r="K111" s="292"/>
      <c r="L111" s="292"/>
      <c r="M111" s="292"/>
      <c r="N111" s="292">
        <f t="shared" si="2"/>
        <v>0.75</v>
      </c>
      <c r="O111" s="296">
        <f t="shared" si="4"/>
        <v>2014.25</v>
      </c>
      <c r="P111" s="297">
        <f ca="1">VLOOKUP(INT(O111),'Exhibit 7.1'!$A$1:$I$128,9)*N111+(1-N111)*VLOOKUP(INT(O111)+1,'Exhibit 7.1'!$A$1:$I$128,9)</f>
        <v>0.40556413792831758</v>
      </c>
      <c r="Q111" s="296"/>
    </row>
    <row r="112" spans="1:17">
      <c r="A112" s="292"/>
      <c r="B112" s="292"/>
      <c r="C112" s="292"/>
      <c r="D112" s="292"/>
      <c r="E112" s="292"/>
      <c r="F112" s="292"/>
      <c r="G112" s="292"/>
      <c r="H112" s="292"/>
      <c r="I112" s="292"/>
      <c r="J112" s="292"/>
      <c r="K112" s="292"/>
      <c r="L112" s="292"/>
      <c r="M112" s="292"/>
      <c r="N112" s="292">
        <f t="shared" si="2"/>
        <v>0.5</v>
      </c>
      <c r="O112" s="296">
        <f t="shared" si="4"/>
        <v>2014.5</v>
      </c>
      <c r="P112" s="297">
        <f ca="1">VLOOKUP(INT(O112),'Exhibit 7.1'!$A$1:$I$128,9)*N112+(1-N112)*VLOOKUP(INT(O112)+1,'Exhibit 7.1'!$A$1:$I$128,9)</f>
        <v>0.40640474967397072</v>
      </c>
      <c r="Q112" s="296"/>
    </row>
    <row r="113" spans="1:19">
      <c r="A113" s="292"/>
      <c r="B113" s="292"/>
      <c r="C113" s="292"/>
      <c r="D113" s="292"/>
      <c r="E113" s="292"/>
      <c r="F113" s="292"/>
      <c r="G113" s="292"/>
      <c r="H113" s="292"/>
      <c r="I113" s="292"/>
      <c r="J113" s="292"/>
      <c r="K113" s="292"/>
      <c r="L113" s="292"/>
      <c r="M113" s="292"/>
      <c r="N113" s="292">
        <f t="shared" si="2"/>
        <v>0.25</v>
      </c>
      <c r="O113" s="296">
        <f t="shared" si="4"/>
        <v>2014.75</v>
      </c>
      <c r="P113" s="297">
        <f ca="1">VLOOKUP(INT(O113),'Exhibit 7.1'!$A$1:$I$128,9)*N113+(1-N113)*VLOOKUP(INT(O113)+1,'Exhibit 7.1'!$A$1:$I$128,9)</f>
        <v>0.40724536141962381</v>
      </c>
      <c r="Q113" s="296"/>
    </row>
    <row r="114" spans="1:19">
      <c r="A114" s="292"/>
      <c r="B114" s="292"/>
      <c r="C114" s="292"/>
      <c r="D114" s="292"/>
      <c r="E114" s="292"/>
      <c r="F114" s="292"/>
      <c r="G114" s="292"/>
      <c r="H114" s="292"/>
      <c r="I114" s="292"/>
      <c r="J114" s="292"/>
      <c r="K114" s="292"/>
      <c r="L114" s="292"/>
      <c r="M114" s="292"/>
      <c r="N114" s="292">
        <f t="shared" si="2"/>
        <v>1</v>
      </c>
      <c r="O114" s="296">
        <f t="shared" si="4"/>
        <v>2015</v>
      </c>
      <c r="P114" s="297">
        <f ca="1">VLOOKUP(INT(O114),'Exhibit 7.1'!$A$1:$I$128,9)*N114+(1-N114)*VLOOKUP(INT(O114)+1,'Exhibit 7.1'!$A$1:$I$128,9)</f>
        <v>0.40808597316527695</v>
      </c>
      <c r="Q114" s="296"/>
    </row>
    <row r="115" spans="1:19">
      <c r="A115" s="292"/>
      <c r="B115" s="292"/>
      <c r="C115" s="292"/>
      <c r="D115" s="292"/>
      <c r="E115" s="292"/>
      <c r="F115" s="292"/>
      <c r="G115" s="292"/>
      <c r="H115" s="292"/>
      <c r="I115" s="292"/>
      <c r="J115" s="292"/>
      <c r="K115" s="292"/>
      <c r="L115" s="292"/>
      <c r="M115" s="292"/>
      <c r="N115" s="292">
        <f t="shared" si="2"/>
        <v>0.75</v>
      </c>
      <c r="O115" s="296">
        <f t="shared" si="4"/>
        <v>2015.25</v>
      </c>
      <c r="P115" s="297">
        <f ca="1">VLOOKUP(INT(O115),'Exhibit 7.1'!$A$1:$I$128,9)*N115+(1-N115)*VLOOKUP(INT(O115)+1,'Exhibit 7.1'!$A$1:$I$128,9)</f>
        <v>0.39865298708901642</v>
      </c>
      <c r="Q115" s="296"/>
    </row>
    <row r="116" spans="1:19">
      <c r="A116" s="292"/>
      <c r="B116" s="292"/>
      <c r="C116" s="292"/>
      <c r="D116" s="292"/>
      <c r="E116" s="292"/>
      <c r="F116" s="292"/>
      <c r="G116" s="292"/>
      <c r="H116" s="292"/>
      <c r="I116" s="292"/>
      <c r="J116" s="292"/>
      <c r="K116" s="292"/>
      <c r="L116" s="292"/>
      <c r="M116" s="292"/>
      <c r="N116" s="292">
        <f t="shared" si="2"/>
        <v>0.5</v>
      </c>
      <c r="O116" s="296">
        <f t="shared" si="4"/>
        <v>2015.5</v>
      </c>
      <c r="P116" s="297">
        <f ca="1">VLOOKUP(INT(O116),'Exhibit 7.1'!$A$1:$I$128,9)*N116+(1-N116)*VLOOKUP(INT(O116)+1,'Exhibit 7.1'!$A$1:$I$128,9)</f>
        <v>0.38922000101275589</v>
      </c>
      <c r="Q116" s="297"/>
    </row>
    <row r="117" spans="1:19">
      <c r="A117" s="292"/>
      <c r="B117" s="292"/>
      <c r="C117" s="292"/>
      <c r="D117" s="292"/>
      <c r="E117" s="292"/>
      <c r="F117" s="292"/>
      <c r="G117" s="292"/>
      <c r="H117" s="292"/>
      <c r="I117" s="292"/>
      <c r="J117" s="292"/>
      <c r="K117" s="292"/>
      <c r="L117" s="292"/>
      <c r="M117" s="292"/>
      <c r="N117" s="292">
        <f t="shared" si="2"/>
        <v>0.25</v>
      </c>
      <c r="O117" s="296">
        <f t="shared" si="4"/>
        <v>2015.75</v>
      </c>
      <c r="P117" s="297">
        <f ca="1">VLOOKUP(INT(O117),'Exhibit 7.1'!$A$1:$I$128,9)*N117+(1-N117)*VLOOKUP(INT(O117)+1,'Exhibit 7.1'!$A$1:$I$128,9)</f>
        <v>0.37978701493649536</v>
      </c>
      <c r="Q117" s="297"/>
    </row>
    <row r="118" spans="1:19">
      <c r="A118" s="292"/>
      <c r="B118" s="292"/>
      <c r="C118" s="292"/>
      <c r="D118" s="292"/>
      <c r="E118" s="292"/>
      <c r="F118" s="292"/>
      <c r="G118" s="292"/>
      <c r="H118" s="292"/>
      <c r="I118" s="292"/>
      <c r="J118" s="292"/>
      <c r="K118" s="292"/>
      <c r="L118" s="292"/>
      <c r="M118" s="292"/>
      <c r="N118" s="292">
        <f t="shared" si="2"/>
        <v>1</v>
      </c>
      <c r="O118" s="296">
        <f t="shared" si="4"/>
        <v>2016</v>
      </c>
      <c r="P118" s="297">
        <f ca="1">VLOOKUP(INT(O118),'Exhibit 7.1'!$A$1:$I$128,9)*N118+(1-N118)*VLOOKUP(INT(O118)+1,'Exhibit 7.1'!$A$1:$I$128,9)</f>
        <v>0.37035402886023489</v>
      </c>
      <c r="Q118" s="297"/>
    </row>
    <row r="119" spans="1:19">
      <c r="A119" s="292"/>
      <c r="B119" s="292"/>
      <c r="C119" s="292"/>
      <c r="D119" s="292"/>
      <c r="E119" s="292"/>
      <c r="F119" s="292"/>
      <c r="G119" s="292"/>
      <c r="H119" s="292"/>
      <c r="I119" s="292"/>
      <c r="J119" s="292"/>
      <c r="K119" s="292"/>
      <c r="L119" s="292"/>
      <c r="M119" s="292"/>
      <c r="N119" s="292">
        <f t="shared" si="2"/>
        <v>0.75</v>
      </c>
      <c r="O119" s="296">
        <f t="shared" si="4"/>
        <v>2016.25</v>
      </c>
      <c r="P119" s="297">
        <f ca="1">VLOOKUP(INT(O119),'Exhibit 7.1'!$A$1:$I$128,9)*N119+(1-N119)*VLOOKUP(INT(O119)+1,'Exhibit 7.1'!$A$1:$I$128,9)</f>
        <v>0.36628738115267051</v>
      </c>
      <c r="Q119" s="297"/>
    </row>
    <row r="120" spans="1:19">
      <c r="A120" s="292"/>
      <c r="B120" s="292"/>
      <c r="C120" s="292"/>
      <c r="D120" s="292"/>
      <c r="E120" s="292"/>
      <c r="F120" s="292"/>
      <c r="G120" s="292"/>
      <c r="H120" s="292"/>
      <c r="I120" s="292"/>
      <c r="J120" s="292"/>
      <c r="K120" s="292"/>
      <c r="L120" s="292"/>
      <c r="M120" s="292"/>
      <c r="N120" s="292">
        <f t="shared" si="2"/>
        <v>0.5</v>
      </c>
      <c r="O120" s="296">
        <f t="shared" si="4"/>
        <v>2016.5</v>
      </c>
      <c r="P120" s="297">
        <f ca="1">VLOOKUP(INT(O120),'Exhibit 7.1'!$A$1:$I$128,9)*N120+(1-N120)*VLOOKUP(INT(O120)+1,'Exhibit 7.1'!$A$1:$I$128,9)</f>
        <v>0.36222073344510619</v>
      </c>
      <c r="Q120" s="297"/>
    </row>
    <row r="121" spans="1:19">
      <c r="A121" s="292"/>
      <c r="B121" s="292"/>
      <c r="C121" s="292"/>
      <c r="D121" s="292"/>
      <c r="E121" s="292"/>
      <c r="F121" s="292"/>
      <c r="G121" s="292"/>
      <c r="H121" s="292"/>
      <c r="I121" s="292"/>
      <c r="J121" s="292"/>
      <c r="K121" s="292"/>
      <c r="L121" s="292"/>
      <c r="M121" s="292"/>
      <c r="N121" s="292">
        <f t="shared" si="2"/>
        <v>0.25</v>
      </c>
      <c r="O121" s="296">
        <f t="shared" si="4"/>
        <v>2016.75</v>
      </c>
      <c r="P121" s="297">
        <f ca="1">VLOOKUP(INT(O121),'Exhibit 7.1'!$A$1:$I$128,9)*N121+(1-N121)*VLOOKUP(INT(O121)+1,'Exhibit 7.1'!$A$1:$I$128,9)</f>
        <v>0.35815408573754187</v>
      </c>
      <c r="Q121" s="297"/>
    </row>
    <row r="122" spans="1:19">
      <c r="A122" s="292"/>
      <c r="B122" s="292"/>
      <c r="C122" s="292"/>
      <c r="D122" s="292"/>
      <c r="E122" s="292"/>
      <c r="F122" s="292"/>
      <c r="G122" s="292"/>
      <c r="H122" s="292"/>
      <c r="I122" s="292"/>
      <c r="J122" s="292"/>
      <c r="K122" s="292"/>
      <c r="L122" s="292"/>
      <c r="M122" s="292"/>
      <c r="N122" s="292">
        <f t="shared" si="2"/>
        <v>1</v>
      </c>
      <c r="O122" s="296">
        <f t="shared" si="4"/>
        <v>2017</v>
      </c>
      <c r="P122" s="297">
        <f ca="1">VLOOKUP(INT(O122),'Exhibit 7.1'!$A$1:$I$128,9)*N122+(1-N122)*VLOOKUP(INT(O122)+1,'Exhibit 7.1'!$A$1:$I$128,9)</f>
        <v>0.3540874380299775</v>
      </c>
      <c r="Q122" s="297"/>
    </row>
    <row r="123" spans="1:19">
      <c r="A123" s="292"/>
      <c r="B123" s="292"/>
      <c r="C123" s="292"/>
      <c r="D123" s="292"/>
      <c r="E123" s="292"/>
      <c r="F123" s="292"/>
      <c r="G123" s="292"/>
      <c r="H123" s="292"/>
      <c r="I123" s="292"/>
      <c r="J123" s="292"/>
      <c r="K123" s="292"/>
      <c r="L123" s="292"/>
      <c r="M123" s="292"/>
      <c r="N123" s="292">
        <f t="shared" ref="N123:N128" si="5">INT(O123)-O123+1</f>
        <v>0.75</v>
      </c>
      <c r="O123" s="296">
        <f t="shared" si="4"/>
        <v>2017.25</v>
      </c>
      <c r="P123" s="297">
        <f ca="1">VLOOKUP(INT(O123),'Exhibit 7.1'!$A$1:$I$128,9)*N123+(1-N123)*VLOOKUP(INT(O123)+1,'Exhibit 7.1'!$A$1:$I$128,9)</f>
        <v>0.35305589466294296</v>
      </c>
      <c r="Q123" s="297"/>
    </row>
    <row r="124" spans="1:19">
      <c r="A124" s="292"/>
      <c r="B124" s="292"/>
      <c r="C124" s="292"/>
      <c r="D124" s="292"/>
      <c r="E124" s="292"/>
      <c r="F124" s="292"/>
      <c r="G124" s="292"/>
      <c r="H124" s="292"/>
      <c r="I124" s="292"/>
      <c r="J124" s="292"/>
      <c r="K124" s="292"/>
      <c r="L124" s="292"/>
      <c r="M124" s="292"/>
      <c r="N124" s="292">
        <f t="shared" si="5"/>
        <v>0.5</v>
      </c>
      <c r="O124" s="296">
        <f t="shared" si="4"/>
        <v>2017.5</v>
      </c>
      <c r="P124" s="297">
        <f ca="1">VLOOKUP(INT(O124),'Exhibit 7.1'!$A$1:$I$128,9)*N124+(1-N124)*VLOOKUP(INT(O124)+1,'Exhibit 7.1'!$A$1:$I$128,9)</f>
        <v>0.35202435129590837</v>
      </c>
      <c r="Q124" s="244"/>
    </row>
    <row r="125" spans="1:19">
      <c r="A125" s="292"/>
      <c r="B125" s="292"/>
      <c r="C125" s="292"/>
      <c r="D125" s="292"/>
      <c r="E125" s="292"/>
      <c r="F125" s="292"/>
      <c r="G125" s="292"/>
      <c r="H125" s="292"/>
      <c r="I125" s="292"/>
      <c r="J125" s="292"/>
      <c r="K125" s="292"/>
      <c r="L125" s="292"/>
      <c r="M125" s="292"/>
      <c r="N125" s="292">
        <f t="shared" si="5"/>
        <v>0.25</v>
      </c>
      <c r="O125" s="296">
        <f t="shared" si="4"/>
        <v>2017.75</v>
      </c>
      <c r="P125" s="297">
        <f ca="1">VLOOKUP(INT(O125),'Exhibit 7.1'!$A$1:$I$128,9)*N125+(1-N125)*VLOOKUP(INT(O125)+1,'Exhibit 7.1'!$A$1:$I$128,9)</f>
        <v>0.35099280792887377</v>
      </c>
      <c r="Q125" s="244"/>
    </row>
    <row r="126" spans="1:19">
      <c r="A126" s="292"/>
      <c r="B126" s="292"/>
      <c r="C126" s="292"/>
      <c r="D126" s="292"/>
      <c r="E126" s="292"/>
      <c r="F126" s="292"/>
      <c r="G126" s="292"/>
      <c r="H126" s="292"/>
      <c r="I126" s="292"/>
      <c r="J126" s="292"/>
      <c r="K126" s="292"/>
      <c r="L126" s="292"/>
      <c r="M126" s="292"/>
      <c r="N126" s="292">
        <f t="shared" si="5"/>
        <v>1</v>
      </c>
      <c r="O126" s="296">
        <f t="shared" si="4"/>
        <v>2018</v>
      </c>
      <c r="P126" s="297">
        <f ca="1">VLOOKUP(INT(O126),'Exhibit 7.1'!$A$1:$I$128,9)*N126+(1-N126)*VLOOKUP(INT(O126)+1,'Exhibit 7.1'!$A$1:$I$128,9)</f>
        <v>0.34996126456183924</v>
      </c>
      <c r="Q126" s="244"/>
    </row>
    <row r="127" spans="1:19">
      <c r="A127" s="292"/>
      <c r="B127" s="292"/>
      <c r="C127" s="292"/>
      <c r="D127" s="292"/>
      <c r="E127" s="292"/>
      <c r="F127" s="292"/>
      <c r="G127" s="292"/>
      <c r="H127" s="292"/>
      <c r="I127" s="292"/>
      <c r="J127" s="292"/>
      <c r="K127" s="292"/>
      <c r="L127" s="292"/>
      <c r="M127" s="292"/>
      <c r="N127" s="292">
        <f t="shared" si="5"/>
        <v>0.75</v>
      </c>
      <c r="O127" s="296">
        <f t="shared" si="4"/>
        <v>2018.25</v>
      </c>
      <c r="P127" s="297">
        <f ca="1">VLOOKUP(INT(O127),'Exhibit 7.1'!$A$1:$I$128,9)*N127+(1-N127)*VLOOKUP(INT(O127)+1,'Exhibit 7.1'!$A$1:$I$128,9)</f>
        <v>0.35286185801159503</v>
      </c>
      <c r="Q127" s="244"/>
    </row>
    <row r="128" spans="1:19">
      <c r="A128" s="292"/>
      <c r="B128" s="292"/>
      <c r="C128" s="292"/>
      <c r="D128" s="292"/>
      <c r="E128" s="292"/>
      <c r="F128" s="292"/>
      <c r="G128" s="292"/>
      <c r="H128" s="292"/>
      <c r="I128" s="292"/>
      <c r="J128" s="292"/>
      <c r="K128" s="292"/>
      <c r="L128" s="292"/>
      <c r="M128" s="292"/>
      <c r="N128" s="292">
        <f t="shared" si="5"/>
        <v>0.5</v>
      </c>
      <c r="O128" s="296">
        <f t="shared" si="4"/>
        <v>2018.5</v>
      </c>
      <c r="P128" s="297">
        <f ca="1">VLOOKUP(INT(O128),'Exhibit 7.1'!$A$1:$I$128,9)*N128+(1-N128)*VLOOKUP(INT(O128)+1,'Exhibit 7.1'!$A$1:$I$128,9)</f>
        <v>0.35576245146135088</v>
      </c>
      <c r="Q128" s="245"/>
      <c r="R128" s="292"/>
      <c r="S128" s="292"/>
    </row>
    <row r="129" spans="1:19">
      <c r="A129" s="292"/>
      <c r="B129" s="292"/>
      <c r="C129" s="292"/>
      <c r="D129" s="292"/>
      <c r="E129" s="292"/>
      <c r="F129" s="292"/>
      <c r="G129" s="292"/>
      <c r="H129" s="292"/>
      <c r="I129" s="292"/>
      <c r="J129" s="292"/>
      <c r="K129" s="292"/>
      <c r="L129" s="292"/>
      <c r="M129" s="292"/>
      <c r="N129" s="292">
        <f>INT(O129)-O129+1</f>
        <v>0.25</v>
      </c>
      <c r="O129" s="296">
        <f t="shared" si="4"/>
        <v>2018.75</v>
      </c>
      <c r="P129" s="297">
        <f ca="1">VLOOKUP(INT(O129),'Exhibit 7.1'!$A$1:$I$128,9)*N129+(1-N129)*VLOOKUP(INT(O129)+1,'Exhibit 7.1'!$A$1:$I$128,9)</f>
        <v>0.35866304491110673</v>
      </c>
      <c r="Q129" s="245"/>
      <c r="R129" s="292"/>
      <c r="S129" s="292"/>
    </row>
    <row r="130" spans="1:19">
      <c r="A130" s="292"/>
      <c r="B130" s="292"/>
      <c r="C130" s="292"/>
      <c r="D130" s="292"/>
      <c r="E130" s="292"/>
      <c r="F130" s="292"/>
      <c r="G130" s="292"/>
      <c r="H130" s="292"/>
      <c r="I130" s="292"/>
      <c r="J130" s="292"/>
      <c r="K130" s="292"/>
      <c r="L130" s="292"/>
      <c r="M130" s="292"/>
      <c r="N130" s="292">
        <f t="shared" ref="N130:N134" si="6">INT(O130)-O130+1</f>
        <v>1</v>
      </c>
      <c r="O130" s="296">
        <f t="shared" si="4"/>
        <v>2019</v>
      </c>
      <c r="P130" s="297">
        <f ca="1">VLOOKUP(INT(O130),'Exhibit 7.1'!$A$1:$I$128,9)*N130+(1-N130)*VLOOKUP(INT(O130)+1,'Exhibit 7.1'!$A$1:$I$128,9)</f>
        <v>0.36156363836086253</v>
      </c>
      <c r="Q130" s="245"/>
      <c r="R130" s="292"/>
      <c r="S130" s="292"/>
    </row>
    <row r="131" spans="1:19">
      <c r="A131" s="292"/>
      <c r="B131" s="292"/>
      <c r="C131" s="292"/>
      <c r="D131" s="292"/>
      <c r="E131" s="292"/>
      <c r="F131" s="292"/>
      <c r="G131" s="292"/>
      <c r="H131" s="292"/>
      <c r="I131" s="292"/>
      <c r="J131" s="292"/>
      <c r="K131" s="292"/>
      <c r="L131" s="292"/>
      <c r="M131" s="292"/>
      <c r="N131" s="292">
        <f t="shared" si="6"/>
        <v>0.75</v>
      </c>
      <c r="O131" s="296">
        <f t="shared" si="4"/>
        <v>2019.25</v>
      </c>
      <c r="P131" s="297">
        <f ca="1">VLOOKUP(INT(O131),'Exhibit 7.1'!$A$1:$I$128,9)*N131+(1-N131)*VLOOKUP(INT(O131)+1,'Exhibit 7.1'!$A$1:$I$128,9)</f>
        <v>0.3586208723738229</v>
      </c>
      <c r="Q131" s="245"/>
      <c r="R131" s="292"/>
      <c r="S131" s="292"/>
    </row>
    <row r="132" spans="1:19">
      <c r="A132" s="292"/>
      <c r="B132" s="292"/>
      <c r="C132" s="292"/>
      <c r="D132" s="292"/>
      <c r="E132" s="292"/>
      <c r="F132" s="292"/>
      <c r="G132" s="292"/>
      <c r="H132" s="292"/>
      <c r="I132" s="292"/>
      <c r="J132" s="292"/>
      <c r="K132" s="292"/>
      <c r="L132" s="292"/>
      <c r="M132" s="292"/>
      <c r="N132" s="292">
        <f t="shared" si="6"/>
        <v>0.5</v>
      </c>
      <c r="O132" s="296">
        <f t="shared" si="4"/>
        <v>2019.5</v>
      </c>
      <c r="P132" s="297">
        <f ca="1">VLOOKUP(INT(O132),'Exhibit 7.1'!$A$1:$I$128,9)*N132+(1-N132)*VLOOKUP(INT(O132)+1,'Exhibit 7.1'!$A$1:$I$128,9)</f>
        <v>0.35567810638678321</v>
      </c>
      <c r="Q132" s="245"/>
      <c r="R132" s="292"/>
      <c r="S132" s="292"/>
    </row>
    <row r="133" spans="1:19">
      <c r="A133" s="292"/>
      <c r="B133" s="292"/>
      <c r="C133" s="292"/>
      <c r="D133" s="292"/>
      <c r="E133" s="292"/>
      <c r="F133" s="292"/>
      <c r="G133" s="292"/>
      <c r="H133" s="292"/>
      <c r="I133" s="292"/>
      <c r="J133" s="292"/>
      <c r="K133" s="292"/>
      <c r="L133" s="292"/>
      <c r="M133" s="292"/>
      <c r="N133" s="292">
        <f t="shared" si="6"/>
        <v>0.25</v>
      </c>
      <c r="O133" s="296">
        <f t="shared" si="4"/>
        <v>2019.75</v>
      </c>
      <c r="P133" s="297">
        <f ca="1">VLOOKUP(INT(O133),'Exhibit 7.1'!$A$1:$I$128,9)*N133+(1-N133)*VLOOKUP(INT(O133)+1,'Exhibit 7.1'!$A$1:$I$128,9)</f>
        <v>0.35273534039974352</v>
      </c>
      <c r="Q133" s="245"/>
      <c r="R133" s="292"/>
      <c r="S133" s="292"/>
    </row>
    <row r="134" spans="1:19" ht="13">
      <c r="A134" s="292"/>
      <c r="B134" s="292"/>
      <c r="C134" s="292"/>
      <c r="D134" s="292"/>
      <c r="E134" s="292"/>
      <c r="F134" s="292"/>
      <c r="G134" s="292"/>
      <c r="H134" s="292"/>
      <c r="I134" s="292"/>
      <c r="J134" s="292"/>
      <c r="K134" s="292"/>
      <c r="L134" s="292"/>
      <c r="M134" s="292"/>
      <c r="N134" s="292">
        <f t="shared" si="6"/>
        <v>1</v>
      </c>
      <c r="O134" s="296">
        <f t="shared" si="4"/>
        <v>2020</v>
      </c>
      <c r="P134" s="297">
        <f ca="1">VLOOKUP(INT(O134),'Exhibit 7.1'!$A$1:$I$128,9)*N134+(1-N134)*VLOOKUP(INT(O134)+1,'Exhibit 7.1'!$A$1:$I$128,9)</f>
        <v>0.34979257441270389</v>
      </c>
      <c r="Q134" s="246"/>
      <c r="R134" s="292"/>
      <c r="S134" s="292"/>
    </row>
    <row r="135" spans="1:19">
      <c r="A135" s="292"/>
      <c r="B135" s="292"/>
      <c r="C135" s="292"/>
      <c r="D135" s="292"/>
      <c r="E135" s="292"/>
      <c r="F135" s="292"/>
      <c r="G135" s="292"/>
      <c r="H135" s="292"/>
      <c r="I135" s="292"/>
      <c r="J135" s="292"/>
      <c r="K135" s="292"/>
      <c r="L135" s="292"/>
      <c r="M135" s="292"/>
      <c r="N135" s="292">
        <f t="shared" ref="N135:N136" si="7">INT(O135)-O135+1</f>
        <v>0.75</v>
      </c>
      <c r="O135" s="296">
        <f t="shared" si="4"/>
        <v>2020.25</v>
      </c>
      <c r="P135" s="297">
        <f ca="1">VLOOKUP(INT(O135),'Exhibit 7.1'!$A$1:$I$128,9)*N135+(1-N135)*VLOOKUP(INT(O135)+1,'Exhibit 7.1'!$A$1:$I$128,9)</f>
        <v>0.35550332229678666</v>
      </c>
      <c r="Q135" s="299"/>
      <c r="R135" s="292"/>
      <c r="S135" s="292"/>
    </row>
    <row r="136" spans="1:19">
      <c r="A136" s="292"/>
      <c r="B136" s="292"/>
      <c r="C136" s="292"/>
      <c r="D136" s="292"/>
      <c r="E136" s="292"/>
      <c r="F136" s="292"/>
      <c r="G136" s="292"/>
      <c r="H136" s="292"/>
      <c r="I136" s="292"/>
      <c r="J136" s="292"/>
      <c r="K136" s="292"/>
      <c r="L136" s="292"/>
      <c r="M136" s="292"/>
      <c r="N136" s="292">
        <f t="shared" si="7"/>
        <v>0.5</v>
      </c>
      <c r="O136" s="296">
        <f t="shared" si="4"/>
        <v>2020.5</v>
      </c>
      <c r="P136" s="297">
        <f ca="1">VLOOKUP(INT(O136),'Exhibit 7.1'!$A$1:$I$128,9)*N136+(1-N136)*VLOOKUP(INT(O136)+1,'Exhibit 7.1'!$A$1:$I$128,9)</f>
        <v>0.36121407018086943</v>
      </c>
      <c r="Q136" s="245"/>
      <c r="R136" s="292"/>
      <c r="S136" s="292"/>
    </row>
    <row r="137" spans="1:19">
      <c r="A137" s="292"/>
      <c r="B137" s="292"/>
      <c r="C137" s="292"/>
      <c r="D137" s="292"/>
      <c r="E137" s="292"/>
      <c r="F137" s="292"/>
      <c r="G137" s="292"/>
      <c r="H137" s="292"/>
      <c r="I137" s="292"/>
      <c r="J137" s="292"/>
      <c r="K137" s="292"/>
      <c r="L137" s="292"/>
      <c r="M137" s="292"/>
      <c r="N137" s="292">
        <f>INT(O137)-O137+1</f>
        <v>0.25</v>
      </c>
      <c r="O137" s="296">
        <f t="shared" si="4"/>
        <v>2020.75</v>
      </c>
      <c r="P137" s="297">
        <f ca="1">VLOOKUP(INT(O137),'Exhibit 7.1'!$A$1:$I$128,9)*N137+(1-N137)*VLOOKUP(INT(O137)+1,'Exhibit 7.1'!$A$1:$I$128,9)</f>
        <v>0.3669248180649522</v>
      </c>
      <c r="Q137" s="245"/>
      <c r="R137" s="292"/>
      <c r="S137" s="292"/>
    </row>
    <row r="138" spans="1:19" ht="13">
      <c r="A138" s="292"/>
      <c r="B138" s="292"/>
      <c r="C138" s="292"/>
      <c r="D138" s="292"/>
      <c r="E138" s="292"/>
      <c r="F138" s="292"/>
      <c r="G138" s="292"/>
      <c r="H138" s="292"/>
      <c r="I138" s="292"/>
      <c r="J138" s="292"/>
      <c r="K138" s="292"/>
      <c r="L138" s="292"/>
      <c r="M138" s="292"/>
      <c r="N138" s="292">
        <f>INT(O138)-O138+1</f>
        <v>1</v>
      </c>
      <c r="O138" s="296">
        <f t="shared" si="4"/>
        <v>2021</v>
      </c>
      <c r="P138" s="297">
        <f ca="1">VLOOKUP(INT(O138),'Exhibit 7.1'!$A$1:$I$128,9)*N138+(1-N138)*VLOOKUP(INT(O138)+1,'Exhibit 7.1'!$A$1:$I$128,9)</f>
        <v>0.37263556594903496</v>
      </c>
      <c r="Q138" s="246"/>
      <c r="R138" s="292"/>
      <c r="S138" s="292"/>
    </row>
    <row r="139" spans="1:19">
      <c r="A139" s="292"/>
      <c r="B139" s="292"/>
      <c r="C139" s="292"/>
      <c r="D139" s="292"/>
      <c r="E139" s="292"/>
      <c r="F139" s="292"/>
      <c r="G139" s="292"/>
      <c r="H139" s="292"/>
      <c r="I139" s="292"/>
      <c r="J139" s="292"/>
      <c r="K139" s="292"/>
      <c r="L139" s="292"/>
      <c r="M139" s="292"/>
      <c r="N139" s="292">
        <f>INT(O139)-O139+1</f>
        <v>0.75</v>
      </c>
      <c r="O139" s="296">
        <f t="shared" si="4"/>
        <v>2021.25</v>
      </c>
      <c r="P139" s="297">
        <f ca="1">VLOOKUP(INT(O139),'Exhibit 7.1'!$A$1:$I$128,9)*N139+(1-N139)*VLOOKUP(INT(O139)+1,'Exhibit 7.1'!$A$1:$I$128,9)</f>
        <v>0.37035720754465606</v>
      </c>
      <c r="Q139" s="299"/>
      <c r="R139" s="292"/>
      <c r="S139" s="292"/>
    </row>
    <row r="140" spans="1:19">
      <c r="A140" s="292"/>
      <c r="B140" s="292"/>
      <c r="C140" s="292"/>
      <c r="D140" s="292"/>
      <c r="E140" s="292"/>
      <c r="F140" s="292"/>
      <c r="G140" s="292"/>
      <c r="H140" s="292"/>
      <c r="I140" s="292"/>
      <c r="J140" s="292"/>
      <c r="K140" s="292"/>
      <c r="L140" s="292"/>
      <c r="M140" s="292"/>
      <c r="N140" s="292">
        <f>INT(O140)-O140+1</f>
        <v>0.5</v>
      </c>
      <c r="O140" s="296">
        <f t="shared" si="4"/>
        <v>2021.5</v>
      </c>
      <c r="P140" s="297">
        <f ca="1">VLOOKUP(INT(O140),'Exhibit 7.1'!$A$1:$I$128,9)*N140+(1-N140)*VLOOKUP(INT(O140)+1,'Exhibit 7.1'!$A$1:$I$128,9)</f>
        <v>0.36807884914027722</v>
      </c>
      <c r="Q140" s="299"/>
      <c r="R140" s="292"/>
      <c r="S140" s="292"/>
    </row>
    <row r="141" spans="1:19">
      <c r="A141" s="292"/>
      <c r="B141" s="292"/>
      <c r="C141" s="292"/>
      <c r="D141" s="292"/>
      <c r="E141" s="292"/>
      <c r="F141" s="292"/>
      <c r="G141" s="292"/>
      <c r="H141" s="292"/>
      <c r="I141" s="292"/>
      <c r="J141" s="292"/>
      <c r="K141" s="292"/>
      <c r="L141" s="292"/>
      <c r="M141" s="292"/>
      <c r="N141" s="292">
        <f t="shared" ref="N141" si="8">INT(O141)-O141+1</f>
        <v>0.25</v>
      </c>
      <c r="O141" s="296">
        <f t="shared" si="4"/>
        <v>2021.75</v>
      </c>
      <c r="P141" s="297">
        <f ca="1">VLOOKUP(INT(O141),'Exhibit 7.1'!$A$1:$I$128,9)*N141+(1-N141)*VLOOKUP(INT(O141)+1,'Exhibit 7.1'!$A$1:$I$128,9)</f>
        <v>0.36580049073589832</v>
      </c>
      <c r="Q141" s="299"/>
      <c r="R141" s="292"/>
      <c r="S141" s="292"/>
    </row>
    <row r="142" spans="1:19" ht="13">
      <c r="A142" s="292"/>
      <c r="B142" s="292"/>
      <c r="C142" s="292"/>
      <c r="D142" s="292"/>
      <c r="E142" s="292"/>
      <c r="F142" s="292"/>
      <c r="G142" s="292"/>
      <c r="H142" s="292"/>
      <c r="I142" s="292"/>
      <c r="J142" s="292"/>
      <c r="K142" s="292"/>
      <c r="L142" s="292"/>
      <c r="M142" s="292"/>
      <c r="N142" s="292">
        <f t="shared" ref="N142:N145" si="9">INT(O142)-O142+1</f>
        <v>1</v>
      </c>
      <c r="O142" s="296">
        <f t="shared" si="4"/>
        <v>2022</v>
      </c>
      <c r="P142" s="297">
        <f ca="1">VLOOKUP(INT(O142),'Exhibit 7.1'!$A$1:$I$128,9)*N142+(1-N142)*VLOOKUP(INT(O142)+1,'Exhibit 7.1'!$A$1:$I$128,9)</f>
        <v>0.36352213233151942</v>
      </c>
      <c r="Q142" s="297">
        <f ca="1">$P142</f>
        <v>0.36352213233151942</v>
      </c>
      <c r="R142" s="246"/>
    </row>
    <row r="143" spans="1:19">
      <c r="A143" s="292"/>
      <c r="B143" s="292"/>
      <c r="C143" s="292"/>
      <c r="D143" s="292"/>
      <c r="E143" s="292"/>
      <c r="F143" s="292"/>
      <c r="G143" s="292"/>
      <c r="H143" s="292"/>
      <c r="I143" s="292"/>
      <c r="J143" s="292"/>
      <c r="K143" s="292"/>
      <c r="L143" s="292"/>
      <c r="M143" s="292"/>
      <c r="N143" s="292">
        <f t="shared" si="9"/>
        <v>0.75</v>
      </c>
      <c r="O143" s="296">
        <f t="shared" si="4"/>
        <v>2022.25</v>
      </c>
      <c r="P143" s="296"/>
      <c r="Q143" s="297">
        <f ca="1">$Q$142*$N143+(1-$N143)*$Q$146</f>
        <v>0.36527221341785676</v>
      </c>
      <c r="R143" s="292"/>
    </row>
    <row r="144" spans="1:19">
      <c r="A144" s="292"/>
      <c r="B144" s="292"/>
      <c r="C144" s="292"/>
      <c r="D144" s="292"/>
      <c r="E144" s="292"/>
      <c r="F144" s="292"/>
      <c r="G144" s="292"/>
      <c r="H144" s="292"/>
      <c r="I144" s="292"/>
      <c r="J144" s="292"/>
      <c r="K144" s="292"/>
      <c r="L144" s="292"/>
      <c r="M144" s="292"/>
      <c r="N144" s="292">
        <f t="shared" si="9"/>
        <v>0.5</v>
      </c>
      <c r="O144" s="296">
        <f t="shared" si="4"/>
        <v>2022.5</v>
      </c>
      <c r="P144" s="296"/>
      <c r="Q144" s="297">
        <f ca="1">$Q$142*$N144+(1-$N144)*$Q$146</f>
        <v>0.3670222945041941</v>
      </c>
      <c r="R144" s="292"/>
    </row>
    <row r="145" spans="1:18">
      <c r="A145" s="292"/>
      <c r="B145" s="292"/>
      <c r="C145" s="292"/>
      <c r="D145" s="292"/>
      <c r="E145" s="292"/>
      <c r="F145" s="292"/>
      <c r="G145" s="292"/>
      <c r="H145" s="292"/>
      <c r="I145" s="292"/>
      <c r="J145" s="292"/>
      <c r="K145" s="292"/>
      <c r="L145" s="292"/>
      <c r="M145" s="292"/>
      <c r="N145" s="292">
        <f t="shared" si="9"/>
        <v>0.25</v>
      </c>
      <c r="O145" s="296">
        <f t="shared" si="4"/>
        <v>2022.75</v>
      </c>
      <c r="P145" s="296"/>
      <c r="Q145" s="297">
        <f ca="1">$Q$142*$N145+(1-$N145)*$Q$146</f>
        <v>0.36877237559053144</v>
      </c>
      <c r="R145" s="292"/>
    </row>
    <row r="146" spans="1:18">
      <c r="A146" s="292"/>
      <c r="B146" s="292"/>
      <c r="C146" s="292"/>
      <c r="D146" s="292"/>
      <c r="E146" s="292"/>
      <c r="F146" s="292"/>
      <c r="G146" s="292"/>
      <c r="H146" s="292"/>
      <c r="I146" s="292"/>
      <c r="J146" s="292"/>
      <c r="K146" s="292"/>
      <c r="L146" s="292"/>
      <c r="M146" s="292"/>
      <c r="N146" s="292">
        <f t="shared" ref="N146:N152" si="10">INT(O146)-O146+1</f>
        <v>1</v>
      </c>
      <c r="O146" s="296">
        <f t="shared" si="4"/>
        <v>2023</v>
      </c>
      <c r="P146" s="296"/>
      <c r="Q146" s="297">
        <f ca="1">'Exhibit 7.1'!$I$47</f>
        <v>0.37052245667686878</v>
      </c>
    </row>
    <row r="147" spans="1:18">
      <c r="A147" s="292"/>
      <c r="B147" s="292"/>
      <c r="C147" s="292"/>
      <c r="D147" s="292"/>
      <c r="E147" s="292"/>
      <c r="F147" s="292"/>
      <c r="G147" s="292"/>
      <c r="H147" s="292"/>
      <c r="I147" s="292"/>
      <c r="J147" s="292"/>
      <c r="K147" s="292"/>
      <c r="L147" s="292"/>
      <c r="M147" s="292"/>
      <c r="N147" s="292">
        <f t="shared" si="10"/>
        <v>0.75</v>
      </c>
      <c r="O147" s="296">
        <f t="shared" si="4"/>
        <v>2023.25</v>
      </c>
      <c r="P147" s="296"/>
      <c r="Q147" s="297">
        <f ca="1">$Q$146*$N147+(1-$N147)*$Q$150</f>
        <v>0.36988319973139916</v>
      </c>
    </row>
    <row r="148" spans="1:18">
      <c r="A148" s="292"/>
      <c r="B148" s="292"/>
      <c r="C148" s="292"/>
      <c r="D148" s="292"/>
      <c r="E148" s="292"/>
      <c r="F148" s="292"/>
      <c r="G148" s="292"/>
      <c r="H148" s="292"/>
      <c r="I148" s="292"/>
      <c r="J148" s="292"/>
      <c r="K148" s="292"/>
      <c r="L148" s="292"/>
      <c r="M148" s="292"/>
      <c r="N148" s="292">
        <f t="shared" si="10"/>
        <v>0.5</v>
      </c>
      <c r="O148" s="296">
        <f t="shared" si="4"/>
        <v>2023.5</v>
      </c>
      <c r="P148" s="296"/>
      <c r="Q148" s="297">
        <f t="shared" ref="Q148:Q149" ca="1" si="11">$Q$146*$N148+(1-$N148)*$Q$150</f>
        <v>0.36924394278592954</v>
      </c>
    </row>
    <row r="149" spans="1:18">
      <c r="A149" s="292"/>
      <c r="B149" s="292"/>
      <c r="C149" s="292"/>
      <c r="D149" s="292"/>
      <c r="E149" s="292"/>
      <c r="F149" s="292"/>
      <c r="G149" s="292"/>
      <c r="H149" s="292"/>
      <c r="I149" s="292"/>
      <c r="J149" s="292"/>
      <c r="K149" s="292"/>
      <c r="L149" s="292"/>
      <c r="M149" s="292"/>
      <c r="N149" s="292">
        <f t="shared" si="10"/>
        <v>0.25</v>
      </c>
      <c r="O149" s="296">
        <f t="shared" si="4"/>
        <v>2023.75</v>
      </c>
      <c r="P149" s="296"/>
      <c r="Q149" s="297">
        <f t="shared" ca="1" si="11"/>
        <v>0.36860468584045991</v>
      </c>
    </row>
    <row r="150" spans="1:18">
      <c r="A150" s="292"/>
      <c r="B150" s="292"/>
      <c r="C150" s="292"/>
      <c r="D150" s="292"/>
      <c r="E150" s="292"/>
      <c r="F150" s="292"/>
      <c r="G150" s="292"/>
      <c r="H150" s="292"/>
      <c r="I150" s="292"/>
      <c r="J150" s="292"/>
      <c r="K150" s="292"/>
      <c r="L150" s="292"/>
      <c r="M150" s="292"/>
      <c r="N150" s="292">
        <f t="shared" si="10"/>
        <v>1</v>
      </c>
      <c r="O150" s="296">
        <f t="shared" si="4"/>
        <v>2024</v>
      </c>
      <c r="P150" s="296"/>
      <c r="Q150" s="297">
        <f ca="1">'Exhibit 7.1'!$I$48</f>
        <v>0.36796542889499029</v>
      </c>
    </row>
    <row r="151" spans="1:18">
      <c r="A151" s="292"/>
      <c r="B151" s="292"/>
      <c r="C151" s="292"/>
      <c r="D151" s="292"/>
      <c r="E151" s="292"/>
      <c r="F151" s="292"/>
      <c r="G151" s="292"/>
      <c r="H151" s="292"/>
      <c r="I151" s="292"/>
      <c r="J151" s="292"/>
      <c r="K151" s="292"/>
      <c r="L151" s="292"/>
      <c r="M151" s="292"/>
      <c r="N151" s="292">
        <f t="shared" si="10"/>
        <v>0.75</v>
      </c>
      <c r="O151" s="296">
        <f t="shared" si="4"/>
        <v>2024.25</v>
      </c>
      <c r="P151" s="296"/>
      <c r="Q151" s="297">
        <f ca="1">AVERAGE($Q$150,$Q$152)</f>
        <v>0.36790279331706643</v>
      </c>
    </row>
    <row r="152" spans="1:18">
      <c r="A152" s="292"/>
      <c r="B152" s="292"/>
      <c r="C152" s="292"/>
      <c r="D152" s="292"/>
      <c r="E152" s="292"/>
      <c r="F152" s="292"/>
      <c r="G152" s="292"/>
      <c r="H152" s="292"/>
      <c r="I152" s="292"/>
      <c r="J152" s="292"/>
      <c r="K152" s="292"/>
      <c r="L152" s="292"/>
      <c r="M152" s="292"/>
      <c r="N152" s="292">
        <f t="shared" si="10"/>
        <v>0.5</v>
      </c>
      <c r="O152" s="296">
        <f t="shared" si="4"/>
        <v>2024.5</v>
      </c>
      <c r="P152" s="296"/>
      <c r="Q152" s="297">
        <f ca="1">'Exhibit 7.1'!$I$49</f>
        <v>0.36784015773914253</v>
      </c>
    </row>
    <row r="153" spans="1:18">
      <c r="A153" s="292"/>
      <c r="B153" s="292"/>
      <c r="C153" s="292"/>
      <c r="D153" s="292"/>
      <c r="E153" s="292"/>
      <c r="F153" s="292"/>
      <c r="G153" s="292"/>
      <c r="H153" s="292"/>
      <c r="I153" s="292"/>
      <c r="J153" s="292"/>
      <c r="K153" s="292"/>
      <c r="L153" s="292"/>
      <c r="M153" s="292"/>
    </row>
    <row r="154" spans="1:18">
      <c r="A154" s="292"/>
      <c r="B154" s="292"/>
      <c r="C154" s="292"/>
      <c r="D154" s="292"/>
      <c r="E154" s="292"/>
      <c r="F154" s="292"/>
      <c r="G154" s="292"/>
      <c r="H154" s="292"/>
      <c r="I154" s="292"/>
      <c r="J154" s="292"/>
      <c r="K154" s="292"/>
      <c r="L154" s="292"/>
      <c r="M154" s="292"/>
    </row>
    <row r="155" spans="1:18">
      <c r="A155" s="292"/>
      <c r="B155" s="292"/>
      <c r="C155" s="292"/>
      <c r="D155" s="292"/>
      <c r="E155" s="292"/>
      <c r="F155" s="292"/>
      <c r="G155" s="292"/>
      <c r="H155" s="292"/>
      <c r="I155" s="292"/>
      <c r="J155" s="292"/>
      <c r="K155" s="292"/>
      <c r="L155" s="292"/>
      <c r="M155" s="292"/>
    </row>
    <row r="156" spans="1:18">
      <c r="A156" s="292"/>
      <c r="B156" s="292"/>
      <c r="C156" s="292"/>
      <c r="D156" s="292"/>
      <c r="E156" s="292"/>
      <c r="F156" s="292"/>
      <c r="G156" s="292"/>
      <c r="H156" s="292"/>
      <c r="I156" s="292"/>
      <c r="J156" s="292"/>
      <c r="K156" s="292"/>
      <c r="L156" s="292"/>
      <c r="M156" s="292"/>
    </row>
    <row r="157" spans="1:18">
      <c r="A157" s="292"/>
      <c r="B157" s="292"/>
      <c r="C157" s="292"/>
      <c r="D157" s="292"/>
      <c r="E157" s="292"/>
      <c r="F157" s="292"/>
      <c r="G157" s="292"/>
      <c r="H157" s="292"/>
      <c r="I157" s="292"/>
      <c r="J157" s="292"/>
      <c r="K157" s="292"/>
      <c r="L157" s="292"/>
      <c r="M157" s="292"/>
    </row>
    <row r="158" spans="1:18">
      <c r="A158" s="292"/>
      <c r="B158" s="292"/>
      <c r="C158" s="292"/>
      <c r="D158" s="292"/>
      <c r="E158" s="292"/>
      <c r="F158" s="292"/>
      <c r="G158" s="292"/>
      <c r="H158" s="292"/>
      <c r="I158" s="292"/>
      <c r="J158" s="292"/>
      <c r="K158" s="292"/>
      <c r="L158" s="292"/>
      <c r="M158" s="292"/>
    </row>
    <row r="159" spans="1:18">
      <c r="A159" s="292"/>
      <c r="B159" s="292"/>
      <c r="C159" s="292"/>
      <c r="D159" s="292"/>
      <c r="E159" s="292"/>
      <c r="F159" s="292"/>
      <c r="G159" s="292"/>
      <c r="H159" s="292"/>
      <c r="I159" s="292"/>
      <c r="J159" s="292"/>
      <c r="K159" s="292"/>
      <c r="L159" s="292"/>
      <c r="M159" s="292"/>
    </row>
    <row r="160" spans="1:18">
      <c r="A160" s="292"/>
      <c r="B160" s="292"/>
      <c r="C160" s="292"/>
      <c r="D160" s="292"/>
      <c r="E160" s="292"/>
      <c r="F160" s="292"/>
      <c r="G160" s="292"/>
      <c r="H160" s="292"/>
      <c r="I160" s="292"/>
      <c r="J160" s="292"/>
      <c r="K160" s="292"/>
      <c r="L160" s="292"/>
      <c r="M160" s="292"/>
    </row>
  </sheetData>
  <mergeCells count="1">
    <mergeCell ref="A37:K38"/>
  </mergeCells>
  <pageMargins left="0.5" right="0.5" top="0.75" bottom="0.75" header="0.33" footer="0.33"/>
  <pageSetup scale="94" orientation="portrait" r:id="rId1"/>
  <headerFooter scaleWithDoc="0">
    <oddHeader>&amp;R&amp;"Arial,Regular"&amp;10Exhibit 7.2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M55"/>
  <sheetViews>
    <sheetView zoomScaleNormal="100" zoomScaleSheetLayoutView="85" workbookViewId="0"/>
  </sheetViews>
  <sheetFormatPr defaultColWidth="9.1796875" defaultRowHeight="12.5"/>
  <cols>
    <col min="1" max="1" width="9.1796875" style="56"/>
    <col min="2" max="2" width="5.81640625" style="56" customWidth="1"/>
    <col min="3" max="3" width="17.81640625" style="56" customWidth="1"/>
    <col min="4" max="4" width="5.81640625" style="56" customWidth="1"/>
    <col min="5" max="5" width="17.81640625" style="56" customWidth="1"/>
    <col min="6" max="6" width="5.81640625" style="56" customWidth="1"/>
    <col min="7" max="7" width="17.81640625" style="56" customWidth="1"/>
    <col min="8" max="8" width="5.81640625" style="56" customWidth="1"/>
    <col min="9" max="9" width="19.453125" style="56" customWidth="1"/>
    <col min="10" max="10" width="3.81640625" style="56" customWidth="1"/>
    <col min="11" max="11" width="9.1796875" style="56"/>
    <col min="12" max="12" width="21.54296875" style="56" customWidth="1"/>
    <col min="13" max="13" width="21.1796875" style="56" customWidth="1"/>
    <col min="14" max="16384" width="9.1796875" style="56"/>
  </cols>
  <sheetData>
    <row r="1" spans="1:13" ht="13">
      <c r="A1" s="288" t="s">
        <v>210</v>
      </c>
      <c r="B1" s="193"/>
      <c r="C1" s="193"/>
      <c r="D1" s="193"/>
      <c r="E1" s="193"/>
      <c r="F1" s="193"/>
      <c r="G1" s="193"/>
      <c r="H1" s="193"/>
      <c r="I1" s="193"/>
      <c r="J1" s="289"/>
      <c r="K1" s="57"/>
      <c r="L1" s="57"/>
      <c r="M1" s="57"/>
    </row>
    <row r="2" spans="1:13" ht="13">
      <c r="A2" s="122" t="s">
        <v>466</v>
      </c>
      <c r="B2" s="193"/>
      <c r="C2" s="193"/>
      <c r="D2" s="193"/>
      <c r="E2" s="193"/>
      <c r="F2" s="193"/>
      <c r="G2" s="193"/>
      <c r="H2" s="193"/>
      <c r="I2" s="193"/>
      <c r="J2" s="248"/>
      <c r="K2" s="57"/>
      <c r="L2" s="57"/>
      <c r="M2" s="57"/>
    </row>
    <row r="3" spans="1:13" ht="13">
      <c r="A3" s="122" t="s">
        <v>550</v>
      </c>
      <c r="B3" s="193"/>
      <c r="C3" s="193"/>
      <c r="D3" s="193"/>
      <c r="E3" s="193"/>
      <c r="F3" s="193"/>
      <c r="G3" s="193"/>
      <c r="H3" s="193"/>
      <c r="I3" s="193"/>
      <c r="J3" s="248"/>
      <c r="K3" s="57"/>
      <c r="L3" s="57"/>
      <c r="M3" s="57"/>
    </row>
    <row r="4" spans="1:13">
      <c r="A4" s="31"/>
      <c r="B4" s="31"/>
      <c r="C4" s="31"/>
      <c r="D4" s="31"/>
      <c r="E4" s="31"/>
      <c r="F4" s="31"/>
      <c r="G4" s="31"/>
      <c r="H4" s="31"/>
      <c r="I4" s="31"/>
      <c r="J4" s="31"/>
      <c r="K4" s="57"/>
      <c r="L4" s="57"/>
      <c r="M4" s="57"/>
    </row>
    <row r="5" spans="1:13">
      <c r="A5" s="31"/>
      <c r="B5" s="31"/>
      <c r="C5" s="32" t="s">
        <v>45</v>
      </c>
      <c r="D5" s="32"/>
      <c r="E5" s="32" t="s">
        <v>46</v>
      </c>
      <c r="F5" s="32"/>
      <c r="G5" s="32" t="s">
        <v>47</v>
      </c>
      <c r="H5" s="32"/>
      <c r="I5" s="32" t="s">
        <v>48</v>
      </c>
      <c r="J5" s="31"/>
      <c r="K5" s="57"/>
      <c r="L5" s="57"/>
      <c r="M5" s="57"/>
    </row>
    <row r="6" spans="1:13">
      <c r="A6" s="31" t="s">
        <v>54</v>
      </c>
      <c r="B6" s="31"/>
      <c r="C6" s="31" t="s">
        <v>222</v>
      </c>
      <c r="D6" s="148"/>
      <c r="E6" s="250" t="s">
        <v>223</v>
      </c>
      <c r="F6" s="148"/>
      <c r="G6" s="250" t="s">
        <v>214</v>
      </c>
      <c r="H6" s="148"/>
      <c r="I6" s="31" t="s">
        <v>221</v>
      </c>
      <c r="J6" s="31"/>
      <c r="K6" s="57"/>
      <c r="L6" s="57"/>
      <c r="M6" s="57"/>
    </row>
    <row r="7" spans="1:13">
      <c r="A7" s="33" t="s">
        <v>8</v>
      </c>
      <c r="B7" s="33"/>
      <c r="C7" s="33" t="s">
        <v>334</v>
      </c>
      <c r="D7" s="33"/>
      <c r="E7" s="33" t="s">
        <v>337</v>
      </c>
      <c r="F7" s="33"/>
      <c r="G7" s="33" t="s">
        <v>336</v>
      </c>
      <c r="H7" s="33"/>
      <c r="I7" s="33" t="s">
        <v>338</v>
      </c>
      <c r="J7" s="33"/>
      <c r="K7" s="57"/>
      <c r="L7" s="57"/>
      <c r="M7" s="57"/>
    </row>
    <row r="8" spans="1:13">
      <c r="A8" s="31"/>
      <c r="B8" s="31"/>
      <c r="C8" s="290"/>
      <c r="D8" s="31"/>
      <c r="E8" s="290"/>
      <c r="F8" s="31"/>
      <c r="G8" s="290"/>
      <c r="H8" s="31"/>
      <c r="I8" s="31" t="s">
        <v>216</v>
      </c>
      <c r="J8" s="31"/>
      <c r="K8" s="57"/>
      <c r="L8" s="57"/>
      <c r="M8" s="57"/>
    </row>
    <row r="9" spans="1:13">
      <c r="A9" s="31">
        <f>+'Exhibit 7.1'!A9</f>
        <v>1987</v>
      </c>
      <c r="B9" s="31"/>
      <c r="C9" s="26">
        <f>+SUMIFS('Exhibit 3.2'!F:F,'Exhibit 3.2'!A:A,A9)</f>
        <v>0.2863432294056294</v>
      </c>
      <c r="D9" s="31"/>
      <c r="E9" s="26">
        <f>+SUMIFS('Exhibit 4.4'!I:I,'Exhibit 4.4'!A:A,A9)</f>
        <v>0.85022649753261814</v>
      </c>
      <c r="F9" s="31"/>
      <c r="G9" s="26">
        <f>+SUMIFS('Exhibit 5.2'!S:S,'Exhibit 5.2'!A:A,A9)</f>
        <v>1.6361473283383394</v>
      </c>
      <c r="H9" s="31"/>
      <c r="I9" s="26">
        <f>C9*E9/G9</f>
        <v>0.14879870340098297</v>
      </c>
      <c r="J9" s="31"/>
      <c r="K9" s="57"/>
      <c r="L9" s="57"/>
      <c r="M9" s="57"/>
    </row>
    <row r="10" spans="1:13">
      <c r="A10" s="31">
        <f>+'Exhibit 7.1'!A10</f>
        <v>1988</v>
      </c>
      <c r="B10" s="23"/>
      <c r="C10" s="26">
        <f>+SUMIFS('Exhibit 3.2'!F:F,'Exhibit 3.2'!A:A,A10)</f>
        <v>0.28057617788274963</v>
      </c>
      <c r="D10" s="26"/>
      <c r="E10" s="26">
        <f>+SUMIFS('Exhibit 4.4'!I:I,'Exhibit 4.4'!A:A,A10)</f>
        <v>0.81910067199674197</v>
      </c>
      <c r="F10" s="26"/>
      <c r="G10" s="26">
        <f>+SUMIFS('Exhibit 5.2'!S:S,'Exhibit 5.2'!A:A,A10)</f>
        <v>1.4337531268305852</v>
      </c>
      <c r="H10" s="250"/>
      <c r="I10" s="26">
        <f>C10*E10/G10</f>
        <v>0.16029268327251822</v>
      </c>
      <c r="J10" s="23"/>
      <c r="K10" s="64"/>
      <c r="L10" s="57"/>
      <c r="M10" s="57"/>
    </row>
    <row r="11" spans="1:13">
      <c r="A11" s="31">
        <f>+'Exhibit 7.1'!A11</f>
        <v>1989</v>
      </c>
      <c r="B11" s="23"/>
      <c r="C11" s="26">
        <f>+SUMIFS('Exhibit 3.2'!F:F,'Exhibit 3.2'!A:A,A11)</f>
        <v>0.29946887808219924</v>
      </c>
      <c r="D11" s="26"/>
      <c r="E11" s="26">
        <f>+SUMIFS('Exhibit 4.4'!I:I,'Exhibit 4.4'!A:A,A11)</f>
        <v>0.79524337087062325</v>
      </c>
      <c r="F11" s="26"/>
      <c r="G11" s="26">
        <f>+SUMIFS('Exhibit 5.2'!S:S,'Exhibit 5.2'!A:A,A11)</f>
        <v>1.3790791417401442</v>
      </c>
      <c r="H11" s="250"/>
      <c r="I11" s="26">
        <f t="shared" ref="I11:I43" si="0">C11*E11/G11</f>
        <v>0.17268816043177154</v>
      </c>
      <c r="J11" s="23"/>
      <c r="K11" s="64"/>
      <c r="L11" s="57"/>
      <c r="M11" s="57"/>
    </row>
    <row r="12" spans="1:13">
      <c r="A12" s="31">
        <f>+'Exhibit 7.1'!A12</f>
        <v>1990</v>
      </c>
      <c r="B12" s="23"/>
      <c r="C12" s="26">
        <f ca="1">+SUMIFS('Exhibit 3.2'!F:F,'Exhibit 3.2'!A:A,A12)</f>
        <v>0.33901688041907158</v>
      </c>
      <c r="D12" s="26"/>
      <c r="E12" s="26">
        <f>+SUMIFS('Exhibit 4.4'!I:I,'Exhibit 4.4'!A:A,A12)</f>
        <v>0.64409936284351854</v>
      </c>
      <c r="F12" s="26"/>
      <c r="G12" s="26">
        <f>+SUMIFS('Exhibit 5.2'!S:S,'Exhibit 5.2'!A:A,A12)</f>
        <v>1.2820033431798352</v>
      </c>
      <c r="H12" s="250"/>
      <c r="I12" s="26">
        <f t="shared" ca="1" si="0"/>
        <v>0.17032760314767012</v>
      </c>
      <c r="J12" s="23"/>
      <c r="K12" s="64"/>
      <c r="L12" s="57"/>
      <c r="M12" s="57"/>
    </row>
    <row r="13" spans="1:13">
      <c r="A13" s="31">
        <f>+'Exhibit 7.1'!A13</f>
        <v>1991</v>
      </c>
      <c r="B13" s="23"/>
      <c r="C13" s="26">
        <f ca="1">+SUMIFS('Exhibit 3.2'!F:F,'Exhibit 3.2'!A:A,A13)</f>
        <v>0.35589976662557887</v>
      </c>
      <c r="D13" s="26"/>
      <c r="E13" s="26">
        <f>+SUMIFS('Exhibit 4.4'!I:I,'Exhibit 4.4'!A:A,A13)</f>
        <v>0.5508515779075831</v>
      </c>
      <c r="F13" s="26"/>
      <c r="G13" s="26">
        <f>+SUMIFS('Exhibit 5.2'!S:S,'Exhibit 5.2'!A:A,A13)</f>
        <v>1.1603755614004561</v>
      </c>
      <c r="H13" s="250"/>
      <c r="I13" s="26">
        <f t="shared" ca="1" si="0"/>
        <v>0.16895215182404447</v>
      </c>
      <c r="J13" s="23"/>
      <c r="K13" s="64"/>
      <c r="L13" s="57"/>
      <c r="M13" s="57"/>
    </row>
    <row r="14" spans="1:13">
      <c r="A14" s="31">
        <f>+'Exhibit 7.1'!A14</f>
        <v>1992</v>
      </c>
      <c r="B14" s="23"/>
      <c r="C14" s="26">
        <f ca="1">+SUMIFS('Exhibit 3.2'!F:F,'Exhibit 3.2'!A:A,A14)</f>
        <v>0.29576825073656954</v>
      </c>
      <c r="D14" s="26"/>
      <c r="E14" s="26">
        <f>+SUMIFS('Exhibit 4.4'!I:I,'Exhibit 4.4'!A:A,A14)</f>
        <v>0.58094609614789405</v>
      </c>
      <c r="F14" s="26"/>
      <c r="G14" s="26">
        <f>+SUMIFS('Exhibit 5.2'!S:S,'Exhibit 5.2'!A:A,A14)</f>
        <v>1.0551316551240195</v>
      </c>
      <c r="H14" s="250"/>
      <c r="I14" s="26">
        <f t="shared" ca="1" si="0"/>
        <v>0.16284736581967613</v>
      </c>
      <c r="J14" s="23"/>
      <c r="K14" s="64"/>
      <c r="L14" s="57"/>
      <c r="M14" s="57"/>
    </row>
    <row r="15" spans="1:13">
      <c r="A15" s="31">
        <f>+'Exhibit 7.1'!A15</f>
        <v>1993</v>
      </c>
      <c r="B15" s="23"/>
      <c r="C15" s="26">
        <f ca="1">+SUMIFS('Exhibit 3.2'!F:F,'Exhibit 3.2'!A:A,A15)</f>
        <v>0.24373095550361742</v>
      </c>
      <c r="D15" s="26"/>
      <c r="E15" s="26">
        <f>+SUMIFS('Exhibit 4.4'!I:I,'Exhibit 4.4'!A:A,A15)</f>
        <v>0.69555622829374408</v>
      </c>
      <c r="F15" s="26"/>
      <c r="G15" s="26">
        <f>+SUMIFS('Exhibit 5.2'!S:S,'Exhibit 5.2'!A:A,A15)</f>
        <v>1.0206230165617773</v>
      </c>
      <c r="H15" s="250"/>
      <c r="I15" s="26">
        <f t="shared" ca="1" si="0"/>
        <v>0.1661030384163055</v>
      </c>
      <c r="J15" s="23"/>
      <c r="K15" s="64"/>
      <c r="L15" s="57"/>
      <c r="M15" s="57"/>
    </row>
    <row r="16" spans="1:13">
      <c r="A16" s="31">
        <f>+'Exhibit 7.1'!A16</f>
        <v>1994</v>
      </c>
      <c r="B16" s="23"/>
      <c r="C16" s="26">
        <f ca="1">+SUMIFS('Exhibit 3.2'!F:F,'Exhibit 3.2'!A:A,A16)</f>
        <v>0.28065194743213817</v>
      </c>
      <c r="D16" s="26"/>
      <c r="E16" s="26">
        <f>+SUMIFS('Exhibit 4.4'!I:I,'Exhibit 4.4'!A:A,A16)</f>
        <v>0.72874869523797969</v>
      </c>
      <c r="F16" s="26"/>
      <c r="G16" s="26">
        <f>+SUMIFS('Exhibit 5.2'!S:S,'Exhibit 5.2'!A:A,A16)</f>
        <v>1.1541056839186297</v>
      </c>
      <c r="H16" s="250"/>
      <c r="I16" s="26">
        <f t="shared" ca="1" si="0"/>
        <v>0.17721491485314339</v>
      </c>
      <c r="J16" s="23"/>
      <c r="K16" s="64"/>
      <c r="L16" s="57"/>
      <c r="M16" s="57"/>
    </row>
    <row r="17" spans="1:13">
      <c r="A17" s="31">
        <f>+'Exhibit 7.1'!A17</f>
        <v>1995</v>
      </c>
      <c r="B17" s="23"/>
      <c r="C17" s="26">
        <f ca="1">+SUMIFS('Exhibit 3.2'!F:F,'Exhibit 3.2'!A:A,A17)</f>
        <v>0.41516345300711072</v>
      </c>
      <c r="D17" s="26"/>
      <c r="E17" s="26">
        <f>+SUMIFS('Exhibit 4.4'!I:I,'Exhibit 4.4'!A:A,A17)</f>
        <v>0.71865518319007515</v>
      </c>
      <c r="F17" s="26"/>
      <c r="G17" s="26">
        <f>+SUMIFS('Exhibit 5.2'!S:S,'Exhibit 5.2'!A:A,A17)</f>
        <v>1.515697136461386</v>
      </c>
      <c r="H17" s="250"/>
      <c r="I17" s="26">
        <f t="shared" ca="1" si="0"/>
        <v>0.19684629613486793</v>
      </c>
      <c r="J17" s="23"/>
      <c r="K17" s="64"/>
      <c r="L17" s="57"/>
      <c r="M17" s="57"/>
    </row>
    <row r="18" spans="1:13">
      <c r="A18" s="31">
        <f>+'Exhibit 7.1'!A18</f>
        <v>1996</v>
      </c>
      <c r="B18" s="23"/>
      <c r="C18" s="26">
        <f ca="1">+SUMIFS('Exhibit 3.2'!F:F,'Exhibit 3.2'!A:A,A18)</f>
        <v>0.44585849424657353</v>
      </c>
      <c r="D18" s="26"/>
      <c r="E18" s="26">
        <f>+SUMIFS('Exhibit 4.4'!I:I,'Exhibit 4.4'!A:A,A18)</f>
        <v>0.70870496547480877</v>
      </c>
      <c r="F18" s="26"/>
      <c r="G18" s="26">
        <f>+SUMIFS('Exhibit 5.2'!S:S,'Exhibit 5.2'!A:A,A18)</f>
        <v>1.5554964015319594</v>
      </c>
      <c r="H18" s="250"/>
      <c r="I18" s="26">
        <f t="shared" ca="1" si="0"/>
        <v>0.20313909338553743</v>
      </c>
      <c r="J18" s="23"/>
      <c r="K18" s="64"/>
      <c r="L18" s="57"/>
      <c r="M18" s="57"/>
    </row>
    <row r="19" spans="1:13">
      <c r="A19" s="31">
        <f>+'Exhibit 7.1'!A19</f>
        <v>1997</v>
      </c>
      <c r="B19" s="23"/>
      <c r="C19" s="26">
        <f ca="1">+SUMIFS('Exhibit 3.2'!F:F,'Exhibit 3.2'!A:A,A19)</f>
        <v>0.50136471767413293</v>
      </c>
      <c r="D19" s="26"/>
      <c r="E19" s="26">
        <f>+SUMIFS('Exhibit 4.4'!I:I,'Exhibit 4.4'!A:A,A19)</f>
        <v>0.70237376832710829</v>
      </c>
      <c r="F19" s="26"/>
      <c r="G19" s="26">
        <f>+SUMIFS('Exhibit 5.2'!S:S,'Exhibit 5.2'!A:A,A19)</f>
        <v>1.5082278071543105</v>
      </c>
      <c r="H19" s="250"/>
      <c r="I19" s="26">
        <f t="shared" ca="1" si="0"/>
        <v>0.23348291576950658</v>
      </c>
      <c r="J19" s="23"/>
      <c r="K19" s="64"/>
      <c r="L19" s="57"/>
      <c r="M19" s="57"/>
    </row>
    <row r="20" spans="1:13">
      <c r="A20" s="31">
        <f>+'Exhibit 7.1'!A20</f>
        <v>1998</v>
      </c>
      <c r="B20" s="23"/>
      <c r="C20" s="26">
        <f ca="1">+SUMIFS('Exhibit 3.2'!F:F,'Exhibit 3.2'!A:A,A20)</f>
        <v>0.60284988464620903</v>
      </c>
      <c r="D20" s="26"/>
      <c r="E20" s="26">
        <f>+SUMIFS('Exhibit 4.4'!I:I,'Exhibit 4.4'!A:A,A20)</f>
        <v>0.61882715216730488</v>
      </c>
      <c r="F20" s="26"/>
      <c r="G20" s="26">
        <f>+SUMIFS('Exhibit 5.2'!S:S,'Exhibit 5.2'!A:A,A20)</f>
        <v>1.5282274223560977</v>
      </c>
      <c r="H20" s="250"/>
      <c r="I20" s="26">
        <f t="shared" ca="1" si="0"/>
        <v>0.24411280143425787</v>
      </c>
      <c r="J20" s="23"/>
      <c r="K20" s="64"/>
      <c r="L20" s="57"/>
      <c r="M20" s="57"/>
    </row>
    <row r="21" spans="1:13">
      <c r="A21" s="31">
        <f>+'Exhibit 7.1'!A21</f>
        <v>1999</v>
      </c>
      <c r="B21" s="23"/>
      <c r="C21" s="26">
        <f ca="1">+SUMIFS('Exhibit 3.2'!F:F,'Exhibit 3.2'!A:A,A21)</f>
        <v>0.6626070774297349</v>
      </c>
      <c r="D21" s="26"/>
      <c r="E21" s="26">
        <f>+SUMIFS('Exhibit 4.4'!I:I,'Exhibit 4.4'!A:A,A21)</f>
        <v>0.53617567228462937</v>
      </c>
      <c r="F21" s="26"/>
      <c r="G21" s="26">
        <f>+SUMIFS('Exhibit 5.2'!S:S,'Exhibit 5.2'!A:A,A21)</f>
        <v>1.4521705982646964</v>
      </c>
      <c r="H21" s="250"/>
      <c r="I21" s="26">
        <f t="shared" ca="1" si="0"/>
        <v>0.24465017789644269</v>
      </c>
      <c r="J21" s="23"/>
      <c r="K21" s="64"/>
      <c r="L21" s="57"/>
      <c r="M21" s="57"/>
    </row>
    <row r="22" spans="1:13">
      <c r="A22" s="31">
        <f>+'Exhibit 7.1'!A22</f>
        <v>2000</v>
      </c>
      <c r="B22" s="23"/>
      <c r="C22" s="26">
        <f ca="1">+SUMIFS('Exhibit 3.2'!F:F,'Exhibit 3.2'!A:A,A22)</f>
        <v>0.60071643260033991</v>
      </c>
      <c r="D22" s="26"/>
      <c r="E22" s="26">
        <f>+SUMIFS('Exhibit 4.4'!I:I,'Exhibit 4.4'!A:A,A22)</f>
        <v>0.49272247703491978</v>
      </c>
      <c r="F22" s="26"/>
      <c r="G22" s="26">
        <f>+SUMIFS('Exhibit 5.2'!S:S,'Exhibit 5.2'!A:A,A22)</f>
        <v>1.1491636612393317</v>
      </c>
      <c r="H22" s="250"/>
      <c r="I22" s="26">
        <f t="shared" ca="1" si="0"/>
        <v>0.25756687115150256</v>
      </c>
      <c r="J22" s="23"/>
      <c r="K22" s="64"/>
      <c r="L22" s="57"/>
      <c r="M22" s="57"/>
    </row>
    <row r="23" spans="1:13">
      <c r="A23" s="31">
        <f>+'Exhibit 7.1'!A23</f>
        <v>2001</v>
      </c>
      <c r="B23" s="23"/>
      <c r="C23" s="26">
        <f ca="1">+SUMIFS('Exhibit 3.2'!F:F,'Exhibit 3.2'!A:A,A23)</f>
        <v>0.53504585016895811</v>
      </c>
      <c r="D23" s="26"/>
      <c r="E23" s="26">
        <f>+SUMIFS('Exhibit 4.4'!I:I,'Exhibit 4.4'!A:A,A23)</f>
        <v>0.44918970587933038</v>
      </c>
      <c r="F23" s="26"/>
      <c r="G23" s="26">
        <f>+SUMIFS('Exhibit 5.2'!S:S,'Exhibit 5.2'!A:A,A23)</f>
        <v>0.98115897739959268</v>
      </c>
      <c r="H23" s="250"/>
      <c r="I23" s="26">
        <f t="shared" ca="1" si="0"/>
        <v>0.2449522387353843</v>
      </c>
      <c r="J23" s="23"/>
      <c r="K23" s="64"/>
      <c r="L23" s="57"/>
      <c r="M23" s="57"/>
    </row>
    <row r="24" spans="1:13" s="57" customFormat="1">
      <c r="A24" s="31">
        <f>+'Exhibit 7.1'!A24</f>
        <v>2002</v>
      </c>
      <c r="B24" s="23"/>
      <c r="C24" s="26">
        <f ca="1">+SUMIFS('Exhibit 3.2'!F:F,'Exhibit 3.2'!A:A,A24)</f>
        <v>0.41641372975700969</v>
      </c>
      <c r="D24" s="26"/>
      <c r="E24" s="26">
        <f>+SUMIFS('Exhibit 4.4'!I:I,'Exhibit 4.4'!A:A,A24)</f>
        <v>0.46650642435124873</v>
      </c>
      <c r="F24" s="26"/>
      <c r="G24" s="26">
        <f>+SUMIFS('Exhibit 5.2'!S:S,'Exhibit 5.2'!A:A,A24)</f>
        <v>0.7507521016507307</v>
      </c>
      <c r="H24" s="250"/>
      <c r="I24" s="26">
        <f t="shared" ca="1" si="0"/>
        <v>0.2587534283188519</v>
      </c>
      <c r="J24" s="23"/>
      <c r="K24" s="64"/>
    </row>
    <row r="25" spans="1:13" s="57" customFormat="1">
      <c r="A25" s="31">
        <f>+'Exhibit 7.1'!A25</f>
        <v>2003</v>
      </c>
      <c r="B25" s="23"/>
      <c r="C25" s="26">
        <f ca="1">+SUMIFS('Exhibit 3.2'!F:F,'Exhibit 3.2'!A:A,A25)</f>
        <v>0.26816814008131312</v>
      </c>
      <c r="D25" s="26"/>
      <c r="E25" s="26">
        <f>+SUMIFS('Exhibit 4.4'!I:I,'Exhibit 4.4'!A:A,A25)</f>
        <v>0.48943139069122571</v>
      </c>
      <c r="F25" s="26"/>
      <c r="G25" s="26">
        <f>+SUMIFS('Exhibit 5.2'!S:S,'Exhibit 5.2'!A:A,A25)</f>
        <v>0.53212257499638538</v>
      </c>
      <c r="H25" s="250"/>
      <c r="I25" s="26">
        <f t="shared" ca="1" si="0"/>
        <v>0.24665351914447164</v>
      </c>
      <c r="J25" s="23"/>
      <c r="K25" s="64"/>
    </row>
    <row r="26" spans="1:13" s="57" customFormat="1">
      <c r="A26" s="31">
        <f>+'Exhibit 7.1'!A26</f>
        <v>2004</v>
      </c>
      <c r="B26" s="23"/>
      <c r="C26" s="26">
        <f ca="1">+SUMIFS('Exhibit 3.2'!F:F,'Exhibit 3.2'!A:A,A26)</f>
        <v>0.18256383291717457</v>
      </c>
      <c r="D26" s="26"/>
      <c r="E26" s="26">
        <f>+SUMIFS('Exhibit 4.4'!I:I,'Exhibit 4.4'!A:A,A26)</f>
        <v>0.73988116506610091</v>
      </c>
      <c r="F26" s="26"/>
      <c r="G26" s="26">
        <f>+SUMIFS('Exhibit 5.2'!S:S,'Exhibit 5.2'!A:A,A26)</f>
        <v>0.48392301619220246</v>
      </c>
      <c r="H26" s="250"/>
      <c r="I26" s="26">
        <f t="shared" ca="1" si="0"/>
        <v>0.27912609418859169</v>
      </c>
      <c r="J26" s="23"/>
      <c r="K26" s="64"/>
    </row>
    <row r="27" spans="1:13" s="57" customFormat="1">
      <c r="A27" s="31">
        <f>+'Exhibit 7.1'!A27</f>
        <v>2005</v>
      </c>
      <c r="B27" s="23"/>
      <c r="C27" s="26">
        <f ca="1">+SUMIFS('Exhibit 3.2'!F:F,'Exhibit 3.2'!A:A,A27)</f>
        <v>0.17979404791326786</v>
      </c>
      <c r="D27" s="26"/>
      <c r="E27" s="26">
        <f>+SUMIFS('Exhibit 4.4'!I:I,'Exhibit 4.4'!A:A,A27)</f>
        <v>0.85932771784680717</v>
      </c>
      <c r="F27" s="26"/>
      <c r="G27" s="26">
        <f>+SUMIFS('Exhibit 5.2'!S:S,'Exhibit 5.2'!A:A,A27)</f>
        <v>0.53644016607678224</v>
      </c>
      <c r="H27" s="250"/>
      <c r="I27" s="26">
        <f t="shared" ca="1" si="0"/>
        <v>0.28801349832859763</v>
      </c>
      <c r="J27" s="23"/>
      <c r="K27" s="64"/>
    </row>
    <row r="28" spans="1:13" s="57" customFormat="1">
      <c r="A28" s="31">
        <f>+'Exhibit 7.1'!A28</f>
        <v>2006</v>
      </c>
      <c r="B28" s="23"/>
      <c r="C28" s="26">
        <f ca="1">+SUMIFS('Exhibit 3.2'!F:F,'Exhibit 3.2'!A:A,A28)</f>
        <v>0.2332489229458849</v>
      </c>
      <c r="D28" s="26"/>
      <c r="E28" s="26">
        <f>+SUMIFS('Exhibit 4.4'!I:I,'Exhibit 4.4'!A:A,A28)</f>
        <v>0.9028497299222682</v>
      </c>
      <c r="F28" s="26"/>
      <c r="G28" s="26">
        <f>+SUMIFS('Exhibit 5.2'!S:S,'Exhibit 5.2'!A:A,A28)</f>
        <v>0.68984270053608088</v>
      </c>
      <c r="H28" s="250"/>
      <c r="I28" s="26">
        <f ca="1">C28*E28/G28</f>
        <v>0.3052706463701107</v>
      </c>
      <c r="J28" s="23"/>
      <c r="K28" s="64"/>
    </row>
    <row r="29" spans="1:13" s="57" customFormat="1">
      <c r="A29" s="31">
        <f>+'Exhibit 7.1'!A29</f>
        <v>2007</v>
      </c>
      <c r="B29" s="23"/>
      <c r="C29" s="26">
        <f ca="1">+SUMIFS('Exhibit 3.2'!F:F,'Exhibit 3.2'!A:A,A29)</f>
        <v>0.32849268716222524</v>
      </c>
      <c r="D29" s="26"/>
      <c r="E29" s="26">
        <f>+SUMIFS('Exhibit 4.4'!I:I,'Exhibit 4.4'!A:A,A29)</f>
        <v>0.88599978599226725</v>
      </c>
      <c r="F29" s="26"/>
      <c r="G29" s="26">
        <f>+SUMIFS('Exhibit 5.2'!S:S,'Exhibit 5.2'!A:A,A29)</f>
        <v>0.88164928427798583</v>
      </c>
      <c r="H29" s="250"/>
      <c r="I29" s="26">
        <f t="shared" ca="1" si="0"/>
        <v>0.3301136355643991</v>
      </c>
      <c r="J29" s="23"/>
      <c r="K29" s="64"/>
    </row>
    <row r="30" spans="1:13" s="57" customFormat="1">
      <c r="A30" s="31">
        <f>+'Exhibit 7.1'!A30</f>
        <v>2008</v>
      </c>
      <c r="B30" s="23"/>
      <c r="C30" s="26">
        <f ca="1">+SUMIFS('Exhibit 3.2'!F:F,'Exhibit 3.2'!A:A,A30)</f>
        <v>0.41128807874719164</v>
      </c>
      <c r="D30" s="26"/>
      <c r="E30" s="26">
        <f>+SUMIFS('Exhibit 4.4'!I:I,'Exhibit 4.4'!A:A,A30)</f>
        <v>0.87982690983494261</v>
      </c>
      <c r="F30" s="26"/>
      <c r="G30" s="26">
        <f>+SUMIFS('Exhibit 5.2'!S:S,'Exhibit 5.2'!A:A,A30)</f>
        <v>1.0651391467551379</v>
      </c>
      <c r="H30" s="250"/>
      <c r="I30" s="26">
        <f t="shared" ca="1" si="0"/>
        <v>0.3397324382250686</v>
      </c>
      <c r="J30" s="23"/>
      <c r="K30" s="64"/>
    </row>
    <row r="31" spans="1:13" s="57" customFormat="1">
      <c r="A31" s="31">
        <f>+'Exhibit 7.1'!A31</f>
        <v>2009</v>
      </c>
      <c r="B31" s="23"/>
      <c r="C31" s="26">
        <f ca="1">+SUMIFS('Exhibit 3.2'!F:F,'Exhibit 3.2'!A:A,A31)</f>
        <v>0.48486442562521842</v>
      </c>
      <c r="D31" s="26"/>
      <c r="E31" s="26">
        <f>+SUMIFS('Exhibit 4.4'!I:I,'Exhibit 4.4'!A:A,A31)</f>
        <v>0.86764517162532306</v>
      </c>
      <c r="F31" s="26"/>
      <c r="G31" s="26">
        <f>+SUMIFS('Exhibit 5.2'!S:S,'Exhibit 5.2'!A:A,A31)</f>
        <v>1.1491182482454796</v>
      </c>
      <c r="H31" s="326"/>
      <c r="I31" s="26">
        <f t="shared" ca="1" si="0"/>
        <v>0.36609833533575276</v>
      </c>
      <c r="J31" s="23"/>
      <c r="K31" s="64"/>
    </row>
    <row r="32" spans="1:13" s="57" customFormat="1">
      <c r="A32" s="324">
        <f>+'Exhibit 7.1'!A32</f>
        <v>2010</v>
      </c>
      <c r="B32" s="29"/>
      <c r="C32" s="29">
        <f ca="1">+SUMIFS('Exhibit 3.2'!F:F,'Exhibit 3.2'!A:A,A32)</f>
        <v>0.47858574981415652</v>
      </c>
      <c r="D32" s="29"/>
      <c r="E32" s="29">
        <f>+SUMIFS('Exhibit 4.4'!I:I,'Exhibit 4.4'!A:A,A32)</f>
        <v>0.86505002156064126</v>
      </c>
      <c r="F32" s="29"/>
      <c r="G32" s="29">
        <f>+SUMIFS('Exhibit 5.2'!S:S,'Exhibit 5.2'!A:A,A32)</f>
        <v>1.0447197387238547</v>
      </c>
      <c r="H32" s="324"/>
      <c r="I32" s="29">
        <f t="shared" ca="1" si="0"/>
        <v>0.39627911472320937</v>
      </c>
      <c r="J32" s="26"/>
      <c r="K32" s="327"/>
    </row>
    <row r="33" spans="1:13" s="57" customFormat="1">
      <c r="A33" s="326">
        <f>+'Exhibit 7.1'!A33</f>
        <v>2011</v>
      </c>
      <c r="B33" s="26"/>
      <c r="C33" s="26">
        <f ca="1">+SUMIFS('Exhibit 3.2'!F:F,'Exhibit 3.2'!A:A,A33)</f>
        <v>0.41286411927928451</v>
      </c>
      <c r="D33" s="26"/>
      <c r="E33" s="26">
        <f>+SUMIFS('Exhibit 4.4'!I:I,'Exhibit 4.4'!A:A,A33)</f>
        <v>0.88006391189761468</v>
      </c>
      <c r="F33" s="26"/>
      <c r="G33" s="26">
        <f>+SUMIFS('Exhibit 5.2'!S:S,'Exhibit 5.2'!A:A,A33)</f>
        <v>0.95315428739305696</v>
      </c>
      <c r="H33" s="326"/>
      <c r="I33" s="26">
        <f t="shared" ca="1" si="0"/>
        <v>0.38120461367159064</v>
      </c>
      <c r="J33" s="26"/>
      <c r="K33" s="327"/>
    </row>
    <row r="34" spans="1:13" s="57" customFormat="1">
      <c r="A34" s="326">
        <f>+'Exhibit 7.1'!A34</f>
        <v>2012</v>
      </c>
      <c r="B34" s="26"/>
      <c r="C34" s="26">
        <f ca="1">+SUMIFS('Exhibit 3.2'!F:F,'Exhibit 3.2'!A:A,A34)</f>
        <v>0.35760388961045725</v>
      </c>
      <c r="D34" s="26"/>
      <c r="E34" s="26">
        <f>+SUMIFS('Exhibit 4.4'!I:I,'Exhibit 4.4'!A:A,A34)</f>
        <v>0.91964929620339375</v>
      </c>
      <c r="F34" s="26"/>
      <c r="G34" s="26">
        <f>+SUMIFS('Exhibit 5.2'!S:S,'Exhibit 5.2'!A:A,A34)</f>
        <v>0.84820299734727356</v>
      </c>
      <c r="H34" s="326"/>
      <c r="I34" s="26">
        <f t="shared" ca="1" si="0"/>
        <v>0.38772577605641995</v>
      </c>
      <c r="J34" s="26"/>
      <c r="K34" s="327"/>
    </row>
    <row r="35" spans="1:13" s="57" customFormat="1">
      <c r="A35" s="250">
        <f>+'Exhibit 7.1'!A35</f>
        <v>2013</v>
      </c>
      <c r="B35" s="26"/>
      <c r="C35" s="26">
        <f ca="1">+SUMIFS('Exhibit 3.2'!F:F,'Exhibit 3.2'!A:A,A35)</f>
        <v>0.30304904837821889</v>
      </c>
      <c r="D35" s="26"/>
      <c r="E35" s="26">
        <f>+SUMIFS('Exhibit 4.4'!I:I,'Exhibit 4.4'!A:A,A35)</f>
        <v>0.95377102735100072</v>
      </c>
      <c r="F35" s="26"/>
      <c r="G35" s="26">
        <f>+SUMIFS('Exhibit 5.2'!S:S,'Exhibit 5.2'!A:A,A35)</f>
        <v>0.74133949974490965</v>
      </c>
      <c r="H35" s="250"/>
      <c r="I35" s="26">
        <f t="shared" ca="1" si="0"/>
        <v>0.38988803686960383</v>
      </c>
      <c r="J35" s="26"/>
      <c r="K35" s="327"/>
    </row>
    <row r="36" spans="1:13" s="57" customFormat="1" ht="12.75" customHeight="1">
      <c r="A36" s="373">
        <f>+'Exhibit 7.1'!A36</f>
        <v>2014</v>
      </c>
      <c r="B36" s="26"/>
      <c r="C36" s="26">
        <f ca="1">+SUMIFS('Exhibit 3.2'!F:F,'Exhibit 3.2'!A:A,A36)</f>
        <v>0.27602337688564332</v>
      </c>
      <c r="D36" s="26"/>
      <c r="E36" s="26">
        <f>+SUMIFS('Exhibit 4.4'!I:I,'Exhibit 4.4'!A:A,A36)</f>
        <v>0.9986329551294878</v>
      </c>
      <c r="F36" s="26"/>
      <c r="G36" s="26">
        <f>+SUMIFS('Exhibit 5.2'!S:S,'Exhibit 5.2'!A:A,A36)</f>
        <v>0.68287855670079389</v>
      </c>
      <c r="H36" s="373"/>
      <c r="I36" s="26">
        <f t="shared" ca="1" si="0"/>
        <v>0.40365309151873957</v>
      </c>
      <c r="J36" s="26"/>
      <c r="K36" s="327"/>
    </row>
    <row r="37" spans="1:13" s="57" customFormat="1" ht="12.75" customHeight="1">
      <c r="A37" s="31">
        <f>+'Exhibit 7.1'!A37</f>
        <v>2015</v>
      </c>
      <c r="B37" s="26"/>
      <c r="C37" s="26">
        <f ca="1">+SUMIFS('Exhibit 3.2'!F:F,'Exhibit 3.2'!A:A,A37)</f>
        <v>0.26274318978642797</v>
      </c>
      <c r="D37" s="26"/>
      <c r="E37" s="26">
        <f>+SUMIFS('Exhibit 4.4'!I:I,'Exhibit 4.4'!A:A,A37)</f>
        <v>1.0190589731880695</v>
      </c>
      <c r="F37" s="26"/>
      <c r="G37" s="26">
        <f>+SUMIFS('Exhibit 5.2'!S:S,'Exhibit 5.2'!A:A,A37)</f>
        <v>0.65239293649479857</v>
      </c>
      <c r="H37" s="373"/>
      <c r="I37" s="26">
        <f t="shared" ca="1" si="0"/>
        <v>0.41041340305506224</v>
      </c>
      <c r="J37" s="23"/>
      <c r="K37" s="64"/>
    </row>
    <row r="38" spans="1:13" ht="12.75" customHeight="1">
      <c r="A38" s="31">
        <f>+'Exhibit 7.1'!A38</f>
        <v>2016</v>
      </c>
      <c r="B38" s="26"/>
      <c r="C38" s="26">
        <f ca="1">+SUMIFS('Exhibit 3.2'!F:F,'Exhibit 3.2'!A:A,A38)</f>
        <v>0.25084675988544142</v>
      </c>
      <c r="D38" s="26"/>
      <c r="E38" s="26">
        <f>+SUMIFS('Exhibit 4.4'!I:I,'Exhibit 4.4'!A:A,A38)</f>
        <v>1.0221540556686342</v>
      </c>
      <c r="F38" s="26"/>
      <c r="G38" s="26">
        <f>+SUMIFS('Exhibit 5.2'!S:S,'Exhibit 5.2'!A:A,A38)</f>
        <v>0.67406532007930431</v>
      </c>
      <c r="H38" s="373"/>
      <c r="I38" s="26">
        <f t="shared" ca="1" si="0"/>
        <v>0.3803845492868167</v>
      </c>
      <c r="J38" s="23"/>
      <c r="K38" s="57"/>
      <c r="L38" s="57"/>
      <c r="M38" s="57"/>
    </row>
    <row r="39" spans="1:13" ht="12.75" customHeight="1">
      <c r="A39" s="31">
        <f>+'Exhibit 7.1'!A39</f>
        <v>2017</v>
      </c>
      <c r="B39" s="26"/>
      <c r="C39" s="26">
        <f ca="1">+SUMIFS('Exhibit 3.2'!F:F,'Exhibit 3.2'!A:A,A39)</f>
        <v>0.25659700469228386</v>
      </c>
      <c r="D39" s="26"/>
      <c r="E39" s="26">
        <f>+SUMIFS('Exhibit 4.4'!I:I,'Exhibit 4.4'!A:A,A39)</f>
        <v>1.0252400281533758</v>
      </c>
      <c r="F39" s="26"/>
      <c r="G39" s="26">
        <f>+SUMIFS('Exhibit 5.2'!S:S,'Exhibit 5.2'!A:A,A39)</f>
        <v>0.70557323538357308</v>
      </c>
      <c r="H39" s="26"/>
      <c r="I39" s="26">
        <f t="shared" ca="1" si="0"/>
        <v>0.3728507646293775</v>
      </c>
      <c r="J39" s="23"/>
      <c r="K39" s="57"/>
      <c r="L39" s="57"/>
      <c r="M39" s="57"/>
    </row>
    <row r="40" spans="1:13" ht="12.75" customHeight="1">
      <c r="A40" s="31">
        <f>+'Exhibit 7.1'!A40</f>
        <v>2018</v>
      </c>
      <c r="B40" s="26"/>
      <c r="C40" s="26">
        <f ca="1">+SUMIFS('Exhibit 3.2'!F:F,'Exhibit 3.2'!A:A,A40)</f>
        <v>0.27866832758098742</v>
      </c>
      <c r="D40" s="26"/>
      <c r="E40" s="26">
        <f>+SUMIFS('Exhibit 4.4'!I:I,'Exhibit 4.4'!A:A,A40)</f>
        <v>1.0262724582463716</v>
      </c>
      <c r="F40" s="26"/>
      <c r="G40" s="26">
        <f>+SUMIFS('Exhibit 5.2'!S:S,'Exhibit 5.2'!A:A,A40)</f>
        <v>0.74272236795168833</v>
      </c>
      <c r="H40" s="26"/>
      <c r="I40" s="26">
        <f t="shared" ca="1" si="0"/>
        <v>0.38505589965017428</v>
      </c>
      <c r="J40" s="23"/>
      <c r="K40" s="57"/>
      <c r="L40" s="57"/>
      <c r="M40" s="57"/>
    </row>
    <row r="41" spans="1:13" ht="12.75" customHeight="1">
      <c r="A41" s="31">
        <f>+'Exhibit 7.1'!A41</f>
        <v>2019</v>
      </c>
      <c r="B41" s="26"/>
      <c r="C41" s="26">
        <f ca="1">+SUMIFS('Exhibit 3.2'!F:F,'Exhibit 3.2'!A:A,A41)</f>
        <v>0.31046500537702409</v>
      </c>
      <c r="D41" s="26"/>
      <c r="E41" s="26">
        <f>+SUMIFS('Exhibit 4.4'!I:I,'Exhibit 4.4'!A:A,A41)</f>
        <v>1.0221837233529598</v>
      </c>
      <c r="F41" s="26"/>
      <c r="G41" s="26">
        <f>+SUMIFS('Exhibit 5.2'!S:S,'Exhibit 5.2'!A:A,A41)</f>
        <v>0.82315346775084608</v>
      </c>
      <c r="H41" s="26"/>
      <c r="I41" s="26">
        <f t="shared" ca="1" si="0"/>
        <v>0.38553233096885903</v>
      </c>
      <c r="J41" s="23"/>
      <c r="K41" s="57"/>
      <c r="L41" s="57"/>
      <c r="M41" s="57"/>
    </row>
    <row r="42" spans="1:13" ht="12.75" customHeight="1">
      <c r="A42" s="31">
        <f>+'Exhibit 7.1'!A42</f>
        <v>2020</v>
      </c>
      <c r="B42" s="26"/>
      <c r="C42" s="26">
        <f ca="1">+SUMIFS('Exhibit 3.2'!F:F,'Exhibit 3.2'!A:A,A42)</f>
        <v>0.31839523063296321</v>
      </c>
      <c r="D42" s="26"/>
      <c r="E42" s="26">
        <f>+SUMIFS('Exhibit 4.4'!I:I,'Exhibit 4.4'!A:A,A42)</f>
        <v>1.0181112782399999</v>
      </c>
      <c r="F42" s="26"/>
      <c r="G42" s="26">
        <f>+SUMIFS('Exhibit 5.2'!S:S,'Exhibit 5.2'!A:A,A42)</f>
        <v>0.87274655271555501</v>
      </c>
      <c r="H42" s="26"/>
      <c r="I42" s="26">
        <f t="shared" ca="1" si="0"/>
        <v>0.37142716202844328</v>
      </c>
      <c r="J42" s="23"/>
      <c r="K42" s="57"/>
      <c r="L42" s="57"/>
      <c r="M42" s="57"/>
    </row>
    <row r="43" spans="1:13" ht="12.75" customHeight="1">
      <c r="A43" s="31">
        <f>+'Exhibit 7.1'!A43</f>
        <v>2021</v>
      </c>
      <c r="B43" s="26"/>
      <c r="C43" s="26">
        <f ca="1">+SUMIFS('Exhibit 3.2'!F:F,'Exhibit 3.2'!A:A,A43)</f>
        <v>0.35540728482116107</v>
      </c>
      <c r="D43" s="26"/>
      <c r="E43" s="26">
        <f>+SUMIFS('Exhibit 4.4'!I:I,'Exhibit 4.4'!A:A,A43)</f>
        <v>1.0160791199999999</v>
      </c>
      <c r="F43" s="26"/>
      <c r="G43" s="26">
        <f>+SUMIFS('Exhibit 5.2'!S:S,'Exhibit 5.2'!A:A,A43)</f>
        <v>0.90719576192335227</v>
      </c>
      <c r="H43" s="26"/>
      <c r="I43" s="26">
        <f t="shared" ca="1" si="0"/>
        <v>0.39806394205045387</v>
      </c>
      <c r="J43" s="23"/>
      <c r="K43" s="57"/>
      <c r="L43" s="57"/>
      <c r="M43" s="57"/>
    </row>
    <row r="44" spans="1:13" ht="12.75" customHeight="1">
      <c r="A44" s="31">
        <f>+'Exhibit 7.1'!A44</f>
        <v>2022</v>
      </c>
      <c r="B44" s="26"/>
      <c r="C44" s="26">
        <f ca="1">+SUMIFS('Exhibit 3.2'!F:F,'Exhibit 3.2'!A:A,A44)</f>
        <v>0.32733670753471977</v>
      </c>
      <c r="D44" s="26"/>
      <c r="E44" s="26">
        <f>+SUMIFS('Exhibit 4.4'!I:I,'Exhibit 4.4'!A:A,A44)</f>
        <v>1.0080149999999999</v>
      </c>
      <c r="F44" s="26"/>
      <c r="G44" s="26">
        <f>+SUMIFS('Exhibit 5.2'!S:S,'Exhibit 5.2'!A:A,A44)</f>
        <v>0.90294356274550347</v>
      </c>
      <c r="H44" s="26"/>
      <c r="I44" s="26">
        <f t="shared" ref="I44" ca="1" si="1">C44*E44/G44</f>
        <v>0.36542739198707874</v>
      </c>
      <c r="J44" s="23"/>
      <c r="K44" s="390" t="s">
        <v>238</v>
      </c>
      <c r="L44" s="391"/>
      <c r="M44" s="392"/>
    </row>
    <row r="45" spans="1:13" ht="12.75" customHeight="1">
      <c r="A45" s="31"/>
      <c r="B45" s="31"/>
      <c r="C45" s="31"/>
      <c r="D45" s="31"/>
      <c r="E45" s="373"/>
      <c r="F45" s="373"/>
      <c r="G45" s="373"/>
      <c r="H45" s="148"/>
      <c r="I45" s="57"/>
      <c r="J45" s="31"/>
      <c r="K45" s="184" t="s">
        <v>349</v>
      </c>
      <c r="L45" s="185" t="s">
        <v>237</v>
      </c>
      <c r="M45" s="186" t="s">
        <v>239</v>
      </c>
    </row>
    <row r="46" spans="1:13" ht="12.75" customHeight="1">
      <c r="A46" s="31"/>
      <c r="B46" s="31"/>
      <c r="C46" s="31"/>
      <c r="D46" s="31"/>
      <c r="E46" s="373"/>
      <c r="F46" s="373"/>
      <c r="G46" s="373"/>
      <c r="H46" s="148"/>
      <c r="I46" s="373" t="s">
        <v>217</v>
      </c>
      <c r="J46" s="31"/>
      <c r="K46" s="65" t="str">
        <f>+'Exhibit 6.1'!A50</f>
        <v>2021*</v>
      </c>
      <c r="L46" s="300"/>
      <c r="M46" s="187"/>
    </row>
    <row r="47" spans="1:13" ht="12.75" customHeight="1">
      <c r="A47" s="31">
        <f>+'Exhibit 7.1'!A47</f>
        <v>2023</v>
      </c>
      <c r="B47" s="31"/>
      <c r="C47" s="31"/>
      <c r="D47" s="31"/>
      <c r="E47" s="373"/>
      <c r="F47" s="373"/>
      <c r="G47" s="373"/>
      <c r="H47" s="148"/>
      <c r="I47" s="24">
        <f ca="1">AVERAGE($I$43*(1+$L$47)*(1+$L$48)*(1+$M$47)*(1+$M$48),$I$44*(1+$L$48)*(1+$M$48))</f>
        <v>0.38722965539064619</v>
      </c>
      <c r="J47" s="31"/>
      <c r="K47" s="65">
        <f>+'Exhibit 6.1'!A51</f>
        <v>2022</v>
      </c>
      <c r="L47" s="238">
        <f>'Exhibit 7.1'!L47</f>
        <v>-2E-3</v>
      </c>
      <c r="M47" s="187">
        <f>+'Exhibit 6.4'!$P$37</f>
        <v>1.4999999999999999E-2</v>
      </c>
    </row>
    <row r="48" spans="1:13">
      <c r="A48" s="31">
        <f>+'Exhibit 7.1'!A48</f>
        <v>2024</v>
      </c>
      <c r="B48" s="31"/>
      <c r="C48" s="31"/>
      <c r="D48" s="31"/>
      <c r="E48" s="373"/>
      <c r="F48" s="373"/>
      <c r="G48" s="373"/>
      <c r="H48" s="148"/>
      <c r="I48" s="24">
        <f ca="1">AVERAGE($I$43*(1+$L$47)*(1+$L$48)*(1+$L$49)*(1+$M$47)*(1+$M$48)*(1+$M$49),$I$44*(1+$L$48)*(1+$L$49)*(1+$M$48)*(1+$M$49))</f>
        <v>0.38646107802464291</v>
      </c>
      <c r="J48" s="31"/>
      <c r="K48" s="65">
        <f>+'Exhibit 6.1'!A52</f>
        <v>2023</v>
      </c>
      <c r="L48" s="238">
        <f>'Exhibit 7.1'!L48</f>
        <v>-7.3376609437143525E-3</v>
      </c>
      <c r="M48" s="187">
        <f>+'Exhibit 6.4'!$P$37</f>
        <v>1.4999999999999999E-2</v>
      </c>
    </row>
    <row r="49" spans="1:13">
      <c r="A49" s="301" t="str">
        <f>+'Exhibit 7.1'!A49</f>
        <v>9/1/2024</v>
      </c>
      <c r="B49" s="31"/>
      <c r="C49" s="31"/>
      <c r="D49" s="31"/>
      <c r="E49" s="373"/>
      <c r="F49" s="373"/>
      <c r="G49" s="373"/>
      <c r="H49" s="148"/>
      <c r="I49" s="24">
        <f ca="1">I48*((1+L50)^(2/12))*((1+M50)^(2/12))</f>
        <v>0.38664760836760531</v>
      </c>
      <c r="J49" s="31"/>
      <c r="K49" s="65">
        <f>+'Exhibit 6.1'!A53</f>
        <v>2024</v>
      </c>
      <c r="L49" s="238">
        <f>'Exhibit 7.1'!L49</f>
        <v>-1.673380314314632E-2</v>
      </c>
      <c r="M49" s="187">
        <f>+'Exhibit 6.4'!$P$37</f>
        <v>1.4999999999999999E-2</v>
      </c>
    </row>
    <row r="50" spans="1:13">
      <c r="A50" s="31"/>
      <c r="B50" s="31"/>
      <c r="C50" s="31"/>
      <c r="D50" s="31"/>
      <c r="E50" s="373"/>
      <c r="F50" s="373"/>
      <c r="G50" s="373"/>
      <c r="H50" s="148"/>
      <c r="I50" s="148"/>
      <c r="J50" s="31"/>
      <c r="K50" s="188">
        <f>+'Exhibit 6.1'!A54</f>
        <v>2025</v>
      </c>
      <c r="L50" s="393">
        <f>'Exhibit 7.1'!L50</f>
        <v>-1.1921701644935112E-2</v>
      </c>
      <c r="M50" s="189">
        <f>+'Exhibit 6.4'!$P$37</f>
        <v>1.4999999999999999E-2</v>
      </c>
    </row>
    <row r="51" spans="1:13" ht="27.75" customHeight="1">
      <c r="A51" s="34" t="s">
        <v>22</v>
      </c>
      <c r="B51" s="510" t="s">
        <v>224</v>
      </c>
      <c r="C51" s="510"/>
      <c r="D51" s="510"/>
      <c r="E51" s="510"/>
      <c r="F51" s="510"/>
      <c r="G51" s="510"/>
      <c r="H51" s="510"/>
      <c r="I51" s="510"/>
      <c r="J51" s="31"/>
      <c r="K51" s="57"/>
      <c r="L51" s="57"/>
      <c r="M51" s="57"/>
    </row>
    <row r="52" spans="1:13">
      <c r="A52" s="34" t="s">
        <v>28</v>
      </c>
      <c r="B52" s="510" t="s">
        <v>225</v>
      </c>
      <c r="C52" s="510"/>
      <c r="D52" s="510"/>
      <c r="E52" s="510"/>
      <c r="F52" s="510"/>
      <c r="G52" s="510"/>
      <c r="H52" s="510"/>
      <c r="I52" s="510"/>
      <c r="J52" s="31"/>
    </row>
    <row r="53" spans="1:13">
      <c r="A53" s="34" t="s">
        <v>38</v>
      </c>
      <c r="B53" s="510" t="s">
        <v>220</v>
      </c>
      <c r="C53" s="510"/>
      <c r="D53" s="510"/>
      <c r="E53" s="510"/>
      <c r="F53" s="510"/>
      <c r="G53" s="510"/>
      <c r="H53" s="510"/>
      <c r="I53" s="510"/>
      <c r="J53" s="31"/>
    </row>
    <row r="54" spans="1:13" ht="52" customHeight="1">
      <c r="A54" s="34" t="s">
        <v>57</v>
      </c>
      <c r="B54" s="510" t="s">
        <v>501</v>
      </c>
      <c r="C54" s="510"/>
      <c r="D54" s="510"/>
      <c r="E54" s="510"/>
      <c r="F54" s="510"/>
      <c r="G54" s="510"/>
      <c r="H54" s="510"/>
      <c r="I54" s="510"/>
      <c r="J54" s="31"/>
      <c r="K54" s="57"/>
      <c r="L54" s="57"/>
      <c r="M54" s="57"/>
    </row>
    <row r="55" spans="1:13" ht="27" customHeight="1">
      <c r="A55" s="34" t="s">
        <v>41</v>
      </c>
      <c r="B55" s="510" t="s">
        <v>339</v>
      </c>
      <c r="C55" s="510"/>
      <c r="D55" s="510"/>
      <c r="E55" s="510"/>
      <c r="F55" s="510"/>
      <c r="G55" s="510"/>
      <c r="H55" s="510"/>
      <c r="I55" s="510"/>
      <c r="J55" s="57"/>
      <c r="K55" s="57"/>
      <c r="L55" s="57"/>
      <c r="M55" s="57"/>
    </row>
  </sheetData>
  <mergeCells count="5">
    <mergeCell ref="B55:I55"/>
    <mergeCell ref="B52:I52"/>
    <mergeCell ref="B53:I53"/>
    <mergeCell ref="B54:I54"/>
    <mergeCell ref="B51:I51"/>
  </mergeCells>
  <printOptions horizontalCentered="1"/>
  <pageMargins left="0.5" right="0.5" top="0.75" bottom="0.75" header="0.33" footer="0.33"/>
  <pageSetup scale="90" orientation="portrait" blackAndWhite="1" horizontalDpi="1200" verticalDpi="1200" r:id="rId1"/>
  <headerFooter scaleWithDoc="0">
    <oddHeader>&amp;R&amp;"Arial,Regular"&amp;10Exhibit 7.3</oddHeader>
  </headerFooter>
  <ignoredErrors>
    <ignoredError sqref="C5:I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Q158"/>
  <sheetViews>
    <sheetView zoomScaleNormal="100" zoomScaleSheetLayoutView="115" workbookViewId="0"/>
  </sheetViews>
  <sheetFormatPr defaultColWidth="9.1796875" defaultRowHeight="12.5"/>
  <cols>
    <col min="1" max="12" width="9.1796875" style="104"/>
    <col min="13" max="13" width="31.81640625" style="104" bestFit="1" customWidth="1"/>
    <col min="14" max="14" width="7" style="104" customWidth="1"/>
    <col min="15" max="15" width="12.81640625" style="105" bestFit="1" customWidth="1"/>
    <col min="16" max="16" width="14.81640625" style="105" bestFit="1" customWidth="1"/>
    <col min="17" max="17" width="14.81640625" style="105" customWidth="1"/>
    <col min="18" max="16384" width="9.1796875" style="104"/>
  </cols>
  <sheetData>
    <row r="1" spans="1:17" ht="13">
      <c r="A1" s="291" t="s">
        <v>467</v>
      </c>
      <c r="B1" s="291"/>
      <c r="C1" s="291"/>
      <c r="D1" s="291"/>
      <c r="E1" s="291"/>
      <c r="F1" s="291"/>
      <c r="G1" s="291"/>
      <c r="H1" s="291"/>
      <c r="I1" s="291"/>
      <c r="J1" s="291"/>
      <c r="K1" s="291"/>
      <c r="L1" s="292"/>
      <c r="M1" s="292"/>
      <c r="N1" s="293" t="s">
        <v>286</v>
      </c>
      <c r="O1" s="294" t="s">
        <v>19</v>
      </c>
      <c r="P1" s="294" t="s">
        <v>322</v>
      </c>
      <c r="Q1" s="294" t="s">
        <v>422</v>
      </c>
    </row>
    <row r="2" spans="1:17" ht="14.5">
      <c r="A2" s="291" t="s">
        <v>550</v>
      </c>
      <c r="B2" s="295"/>
      <c r="C2" s="295"/>
      <c r="D2" s="295"/>
      <c r="E2" s="295"/>
      <c r="F2" s="295"/>
      <c r="G2" s="295"/>
      <c r="H2" s="295"/>
      <c r="I2" s="295"/>
      <c r="J2" s="295"/>
      <c r="K2" s="295"/>
      <c r="L2" s="302"/>
      <c r="M2" s="302"/>
      <c r="N2" s="292">
        <f t="shared" ref="N2:N58" si="0">INT(O2)-O2+1</f>
        <v>1</v>
      </c>
      <c r="O2" s="296">
        <v>1987</v>
      </c>
      <c r="P2" s="297">
        <f>VLOOKUP(INT(O2),'Exhibit 7.3'!$A$1:$I$128,9)*N2+(1-N2)*VLOOKUP(INT(O2)+1,'Exhibit 7.3'!$A$1:$I$128,9)</f>
        <v>0.14879870340098297</v>
      </c>
      <c r="Q2" s="296"/>
    </row>
    <row r="3" spans="1:17">
      <c r="A3" s="292"/>
      <c r="B3" s="292"/>
      <c r="C3" s="292"/>
      <c r="D3" s="292"/>
      <c r="E3" s="292"/>
      <c r="F3" s="292"/>
      <c r="G3" s="292"/>
      <c r="H3" s="292"/>
      <c r="I3" s="292"/>
      <c r="J3" s="292"/>
      <c r="K3" s="292"/>
      <c r="L3" s="302"/>
      <c r="M3" s="302"/>
      <c r="N3" s="292">
        <f t="shared" si="0"/>
        <v>0.75</v>
      </c>
      <c r="O3" s="296">
        <f t="shared" ref="O3:O58" si="1">+O2+0.25</f>
        <v>1987.25</v>
      </c>
      <c r="P3" s="297">
        <f>VLOOKUP(INT(O3),'Exhibit 7.3'!$A$1:$I$128,9)*N3+(1-N3)*VLOOKUP(INT(O3)+1,'Exhibit 7.3'!$A$1:$I$128,9)</f>
        <v>0.15167219836886678</v>
      </c>
      <c r="Q3" s="296"/>
    </row>
    <row r="4" spans="1:17">
      <c r="A4" s="292"/>
      <c r="B4" s="292"/>
      <c r="C4" s="292"/>
      <c r="D4" s="292"/>
      <c r="E4" s="292"/>
      <c r="F4" s="292"/>
      <c r="G4" s="292"/>
      <c r="H4" s="292"/>
      <c r="I4" s="292"/>
      <c r="J4" s="292"/>
      <c r="K4" s="292"/>
      <c r="L4" s="292"/>
      <c r="M4" s="292"/>
      <c r="N4" s="292">
        <f t="shared" si="0"/>
        <v>0.5</v>
      </c>
      <c r="O4" s="296">
        <f t="shared" si="1"/>
        <v>1987.5</v>
      </c>
      <c r="P4" s="297">
        <f>VLOOKUP(INT(O4),'Exhibit 7.3'!$A$1:$I$128,9)*N4+(1-N4)*VLOOKUP(INT(O4)+1,'Exhibit 7.3'!$A$1:$I$128,9)</f>
        <v>0.15454569333675061</v>
      </c>
      <c r="Q4" s="296"/>
    </row>
    <row r="5" spans="1:17">
      <c r="A5" s="292"/>
      <c r="B5" s="292"/>
      <c r="C5" s="292"/>
      <c r="D5" s="292"/>
      <c r="E5" s="292"/>
      <c r="F5" s="292"/>
      <c r="G5" s="292"/>
      <c r="H5" s="292"/>
      <c r="I5" s="292"/>
      <c r="J5" s="292"/>
      <c r="K5" s="292"/>
      <c r="L5" s="292"/>
      <c r="M5" s="292"/>
      <c r="N5" s="292">
        <f t="shared" si="0"/>
        <v>0.25</v>
      </c>
      <c r="O5" s="296">
        <f t="shared" si="1"/>
        <v>1987.75</v>
      </c>
      <c r="P5" s="297">
        <f>VLOOKUP(INT(O5),'Exhibit 7.3'!$A$1:$I$128,9)*N5+(1-N5)*VLOOKUP(INT(O5)+1,'Exhibit 7.3'!$A$1:$I$128,9)</f>
        <v>0.15741918830463442</v>
      </c>
      <c r="Q5" s="296"/>
    </row>
    <row r="6" spans="1:17">
      <c r="A6" s="292"/>
      <c r="B6" s="292"/>
      <c r="C6" s="292"/>
      <c r="D6" s="292"/>
      <c r="E6" s="292"/>
      <c r="F6" s="292"/>
      <c r="G6" s="292"/>
      <c r="H6" s="292"/>
      <c r="I6" s="292"/>
      <c r="J6" s="292"/>
      <c r="K6" s="292"/>
      <c r="L6" s="292"/>
      <c r="M6" s="292"/>
      <c r="N6" s="292">
        <f t="shared" si="0"/>
        <v>1</v>
      </c>
      <c r="O6" s="296">
        <f t="shared" si="1"/>
        <v>1988</v>
      </c>
      <c r="P6" s="297">
        <f>VLOOKUP(INT(O6),'Exhibit 7.3'!$A$1:$I$128,9)*N6+(1-N6)*VLOOKUP(INT(O6)+1,'Exhibit 7.3'!$A$1:$I$128,9)</f>
        <v>0.16029268327251822</v>
      </c>
      <c r="Q6" s="296"/>
    </row>
    <row r="7" spans="1:17">
      <c r="A7" s="292"/>
      <c r="B7" s="292"/>
      <c r="C7" s="292"/>
      <c r="D7" s="292"/>
      <c r="E7" s="292"/>
      <c r="F7" s="292"/>
      <c r="G7" s="292"/>
      <c r="H7" s="292"/>
      <c r="I7" s="292"/>
      <c r="J7" s="292"/>
      <c r="K7" s="292"/>
      <c r="L7" s="292"/>
      <c r="M7" s="292"/>
      <c r="N7" s="292">
        <f t="shared" si="0"/>
        <v>0.75</v>
      </c>
      <c r="O7" s="296">
        <f t="shared" si="1"/>
        <v>1988.25</v>
      </c>
      <c r="P7" s="297">
        <f>VLOOKUP(INT(O7),'Exhibit 7.3'!$A$1:$I$128,9)*N7+(1-N7)*VLOOKUP(INT(O7)+1,'Exhibit 7.3'!$A$1:$I$128,9)</f>
        <v>0.16339155256233157</v>
      </c>
      <c r="Q7" s="296"/>
    </row>
    <row r="8" spans="1:17">
      <c r="A8" s="292"/>
      <c r="B8" s="292"/>
      <c r="C8" s="292"/>
      <c r="D8" s="292"/>
      <c r="E8" s="292"/>
      <c r="F8" s="292"/>
      <c r="G8" s="292"/>
      <c r="H8" s="292"/>
      <c r="I8" s="292"/>
      <c r="J8" s="292"/>
      <c r="K8" s="292"/>
      <c r="L8" s="292"/>
      <c r="M8" s="292"/>
      <c r="N8" s="292">
        <f t="shared" si="0"/>
        <v>0.5</v>
      </c>
      <c r="O8" s="296">
        <f t="shared" si="1"/>
        <v>1988.5</v>
      </c>
      <c r="P8" s="297">
        <f>VLOOKUP(INT(O8),'Exhibit 7.3'!$A$1:$I$128,9)*N8+(1-N8)*VLOOKUP(INT(O8)+1,'Exhibit 7.3'!$A$1:$I$128,9)</f>
        <v>0.16649042185214488</v>
      </c>
      <c r="Q8" s="296"/>
    </row>
    <row r="9" spans="1:17">
      <c r="A9" s="292"/>
      <c r="B9" s="292"/>
      <c r="C9" s="292"/>
      <c r="D9" s="292"/>
      <c r="E9" s="292"/>
      <c r="F9" s="292"/>
      <c r="G9" s="292"/>
      <c r="H9" s="292"/>
      <c r="I9" s="292"/>
      <c r="J9" s="292"/>
      <c r="K9" s="292"/>
      <c r="L9" s="292"/>
      <c r="M9" s="292"/>
      <c r="N9" s="292">
        <f t="shared" si="0"/>
        <v>0.25</v>
      </c>
      <c r="O9" s="296">
        <f t="shared" si="1"/>
        <v>1988.75</v>
      </c>
      <c r="P9" s="297">
        <f>VLOOKUP(INT(O9),'Exhibit 7.3'!$A$1:$I$128,9)*N9+(1-N9)*VLOOKUP(INT(O9)+1,'Exhibit 7.3'!$A$1:$I$128,9)</f>
        <v>0.1695892911419582</v>
      </c>
      <c r="Q9" s="296"/>
    </row>
    <row r="10" spans="1:17">
      <c r="A10" s="292"/>
      <c r="B10" s="292"/>
      <c r="C10" s="292"/>
      <c r="D10" s="292"/>
      <c r="E10" s="292"/>
      <c r="F10" s="292"/>
      <c r="G10" s="292"/>
      <c r="H10" s="292"/>
      <c r="I10" s="292"/>
      <c r="J10" s="292"/>
      <c r="K10" s="292"/>
      <c r="L10" s="292"/>
      <c r="M10" s="292"/>
      <c r="N10" s="292">
        <f t="shared" si="0"/>
        <v>1</v>
      </c>
      <c r="O10" s="296">
        <f t="shared" si="1"/>
        <v>1989</v>
      </c>
      <c r="P10" s="297">
        <f ca="1">VLOOKUP(INT(O10),'Exhibit 7.3'!$A$1:$I$128,9)*N10+(1-N10)*VLOOKUP(INT(O10)+1,'Exhibit 7.3'!$A$1:$I$128,9)</f>
        <v>0.17268816043177154</v>
      </c>
      <c r="Q10" s="296"/>
    </row>
    <row r="11" spans="1:17">
      <c r="A11" s="292"/>
      <c r="B11" s="292"/>
      <c r="C11" s="292"/>
      <c r="D11" s="292"/>
      <c r="E11" s="292"/>
      <c r="F11" s="292"/>
      <c r="G11" s="292"/>
      <c r="H11" s="292"/>
      <c r="I11" s="292"/>
      <c r="J11" s="292"/>
      <c r="K11" s="292"/>
      <c r="L11" s="292"/>
      <c r="M11" s="292"/>
      <c r="N11" s="292">
        <f t="shared" si="0"/>
        <v>0.75</v>
      </c>
      <c r="O11" s="296">
        <f t="shared" si="1"/>
        <v>1989.25</v>
      </c>
      <c r="P11" s="297">
        <f ca="1">VLOOKUP(INT(O11),'Exhibit 7.3'!$A$1:$I$128,9)*N11+(1-N11)*VLOOKUP(INT(O11)+1,'Exhibit 7.3'!$A$1:$I$128,9)</f>
        <v>0.17209802111074618</v>
      </c>
      <c r="Q11" s="296"/>
    </row>
    <row r="12" spans="1:17">
      <c r="A12" s="292"/>
      <c r="B12" s="292"/>
      <c r="C12" s="292"/>
      <c r="D12" s="292"/>
      <c r="E12" s="292"/>
      <c r="F12" s="292"/>
      <c r="G12" s="292"/>
      <c r="H12" s="292"/>
      <c r="I12" s="292"/>
      <c r="J12" s="292"/>
      <c r="K12" s="292"/>
      <c r="L12" s="292"/>
      <c r="M12" s="292"/>
      <c r="N12" s="292">
        <f t="shared" si="0"/>
        <v>0.5</v>
      </c>
      <c r="O12" s="296">
        <f t="shared" si="1"/>
        <v>1989.5</v>
      </c>
      <c r="P12" s="297">
        <f ca="1">VLOOKUP(INT(O12),'Exhibit 7.3'!$A$1:$I$128,9)*N12+(1-N12)*VLOOKUP(INT(O12)+1,'Exhibit 7.3'!$A$1:$I$128,9)</f>
        <v>0.17150788178972082</v>
      </c>
      <c r="Q12" s="296"/>
    </row>
    <row r="13" spans="1:17">
      <c r="A13" s="292"/>
      <c r="B13" s="292"/>
      <c r="C13" s="292"/>
      <c r="D13" s="292"/>
      <c r="E13" s="292"/>
      <c r="F13" s="292"/>
      <c r="G13" s="292"/>
      <c r="H13" s="292"/>
      <c r="I13" s="292"/>
      <c r="J13" s="292"/>
      <c r="K13" s="292"/>
      <c r="L13" s="292"/>
      <c r="M13" s="292"/>
      <c r="N13" s="292">
        <f t="shared" si="0"/>
        <v>0.25</v>
      </c>
      <c r="O13" s="296">
        <f t="shared" si="1"/>
        <v>1989.75</v>
      </c>
      <c r="P13" s="297">
        <f ca="1">VLOOKUP(INT(O13),'Exhibit 7.3'!$A$1:$I$128,9)*N13+(1-N13)*VLOOKUP(INT(O13)+1,'Exhibit 7.3'!$A$1:$I$128,9)</f>
        <v>0.17091774246869545</v>
      </c>
      <c r="Q13" s="296"/>
    </row>
    <row r="14" spans="1:17">
      <c r="A14" s="292"/>
      <c r="B14" s="292"/>
      <c r="C14" s="292"/>
      <c r="D14" s="292"/>
      <c r="E14" s="292"/>
      <c r="F14" s="292"/>
      <c r="G14" s="292"/>
      <c r="H14" s="292"/>
      <c r="I14" s="292"/>
      <c r="J14" s="292"/>
      <c r="K14" s="292"/>
      <c r="L14" s="292"/>
      <c r="M14" s="292"/>
      <c r="N14" s="292">
        <f t="shared" si="0"/>
        <v>1</v>
      </c>
      <c r="O14" s="296">
        <f t="shared" si="1"/>
        <v>1990</v>
      </c>
      <c r="P14" s="297">
        <f ca="1">VLOOKUP(INT(O14),'Exhibit 7.3'!$A$1:$I$128,9)*N14+(1-N14)*VLOOKUP(INT(O14)+1,'Exhibit 7.3'!$A$1:$I$128,9)</f>
        <v>0.17032760314767012</v>
      </c>
      <c r="Q14" s="296"/>
    </row>
    <row r="15" spans="1:17">
      <c r="A15" s="292"/>
      <c r="B15" s="292"/>
      <c r="C15" s="292"/>
      <c r="D15" s="292"/>
      <c r="E15" s="292"/>
      <c r="F15" s="292"/>
      <c r="G15" s="292"/>
      <c r="H15" s="292"/>
      <c r="I15" s="292"/>
      <c r="J15" s="292"/>
      <c r="K15" s="292"/>
      <c r="L15" s="292"/>
      <c r="M15" s="292"/>
      <c r="N15" s="292">
        <f t="shared" si="0"/>
        <v>0.75</v>
      </c>
      <c r="O15" s="296">
        <f t="shared" si="1"/>
        <v>1990.25</v>
      </c>
      <c r="P15" s="297">
        <f ca="1">VLOOKUP(INT(O15),'Exhibit 7.3'!$A$1:$I$128,9)*N15+(1-N15)*VLOOKUP(INT(O15)+1,'Exhibit 7.3'!$A$1:$I$128,9)</f>
        <v>0.16998374031676369</v>
      </c>
      <c r="Q15" s="296"/>
    </row>
    <row r="16" spans="1:17">
      <c r="A16" s="292"/>
      <c r="B16" s="292"/>
      <c r="C16" s="292"/>
      <c r="D16" s="292"/>
      <c r="E16" s="292"/>
      <c r="F16" s="292"/>
      <c r="G16" s="292"/>
      <c r="H16" s="292"/>
      <c r="I16" s="292"/>
      <c r="J16" s="292"/>
      <c r="K16" s="292"/>
      <c r="L16" s="292"/>
      <c r="M16" s="292"/>
      <c r="N16" s="292">
        <f t="shared" si="0"/>
        <v>0.5</v>
      </c>
      <c r="O16" s="296">
        <f t="shared" si="1"/>
        <v>1990.5</v>
      </c>
      <c r="P16" s="297">
        <f ca="1">VLOOKUP(INT(O16),'Exhibit 7.3'!$A$1:$I$128,9)*N16+(1-N16)*VLOOKUP(INT(O16)+1,'Exhibit 7.3'!$A$1:$I$128,9)</f>
        <v>0.16963987748585729</v>
      </c>
      <c r="Q16" s="296"/>
    </row>
    <row r="17" spans="1:17">
      <c r="A17" s="292"/>
      <c r="B17" s="292"/>
      <c r="C17" s="292"/>
      <c r="D17" s="292"/>
      <c r="E17" s="292"/>
      <c r="F17" s="292"/>
      <c r="G17" s="292"/>
      <c r="H17" s="292"/>
      <c r="I17" s="292"/>
      <c r="J17" s="292"/>
      <c r="K17" s="292"/>
      <c r="L17" s="292"/>
      <c r="M17" s="292"/>
      <c r="N17" s="292">
        <f t="shared" si="0"/>
        <v>0.25</v>
      </c>
      <c r="O17" s="296">
        <f t="shared" si="1"/>
        <v>1990.75</v>
      </c>
      <c r="P17" s="297">
        <f ca="1">VLOOKUP(INT(O17),'Exhibit 7.3'!$A$1:$I$128,9)*N17+(1-N17)*VLOOKUP(INT(O17)+1,'Exhibit 7.3'!$A$1:$I$128,9)</f>
        <v>0.16929601465495089</v>
      </c>
      <c r="Q17" s="296"/>
    </row>
    <row r="18" spans="1:17">
      <c r="A18" s="292"/>
      <c r="B18" s="292"/>
      <c r="C18" s="292"/>
      <c r="D18" s="292"/>
      <c r="E18" s="292"/>
      <c r="F18" s="292"/>
      <c r="G18" s="292"/>
      <c r="H18" s="292"/>
      <c r="I18" s="292"/>
      <c r="J18" s="292"/>
      <c r="K18" s="292"/>
      <c r="L18" s="292"/>
      <c r="M18" s="292"/>
      <c r="N18" s="292">
        <f t="shared" si="0"/>
        <v>1</v>
      </c>
      <c r="O18" s="296">
        <f t="shared" si="1"/>
        <v>1991</v>
      </c>
      <c r="P18" s="297">
        <f ca="1">VLOOKUP(INT(O18),'Exhibit 7.3'!$A$1:$I$128,9)*N18+(1-N18)*VLOOKUP(INT(O18)+1,'Exhibit 7.3'!$A$1:$I$128,9)</f>
        <v>0.16895215182404447</v>
      </c>
      <c r="Q18" s="296"/>
    </row>
    <row r="19" spans="1:17">
      <c r="A19" s="292"/>
      <c r="B19" s="292"/>
      <c r="C19" s="292"/>
      <c r="D19" s="292"/>
      <c r="E19" s="292"/>
      <c r="F19" s="292"/>
      <c r="G19" s="292"/>
      <c r="H19" s="292"/>
      <c r="I19" s="292"/>
      <c r="J19" s="292"/>
      <c r="K19" s="292"/>
      <c r="L19" s="292"/>
      <c r="M19" s="292"/>
      <c r="N19" s="292">
        <f t="shared" si="0"/>
        <v>0.75</v>
      </c>
      <c r="O19" s="296">
        <f t="shared" si="1"/>
        <v>1991.25</v>
      </c>
      <c r="P19" s="297">
        <f ca="1">VLOOKUP(INT(O19),'Exhibit 7.3'!$A$1:$I$128,9)*N19+(1-N19)*VLOOKUP(INT(O19)+1,'Exhibit 7.3'!$A$1:$I$128,9)</f>
        <v>0.1674259553229524</v>
      </c>
      <c r="Q19" s="296"/>
    </row>
    <row r="20" spans="1:17">
      <c r="A20" s="292"/>
      <c r="B20" s="292"/>
      <c r="C20" s="292"/>
      <c r="D20" s="292"/>
      <c r="E20" s="292"/>
      <c r="F20" s="292"/>
      <c r="G20" s="292"/>
      <c r="H20" s="292"/>
      <c r="I20" s="292"/>
      <c r="J20" s="292"/>
      <c r="K20" s="292"/>
      <c r="L20" s="292"/>
      <c r="M20" s="292"/>
      <c r="N20" s="292">
        <f t="shared" si="0"/>
        <v>0.5</v>
      </c>
      <c r="O20" s="296">
        <f t="shared" si="1"/>
        <v>1991.5</v>
      </c>
      <c r="P20" s="297">
        <f ca="1">VLOOKUP(INT(O20),'Exhibit 7.3'!$A$1:$I$128,9)*N20+(1-N20)*VLOOKUP(INT(O20)+1,'Exhibit 7.3'!$A$1:$I$128,9)</f>
        <v>0.16589975882186031</v>
      </c>
      <c r="Q20" s="296"/>
    </row>
    <row r="21" spans="1:17">
      <c r="A21" s="292"/>
      <c r="B21" s="292"/>
      <c r="C21" s="292"/>
      <c r="D21" s="292"/>
      <c r="E21" s="292"/>
      <c r="F21" s="292"/>
      <c r="G21" s="292"/>
      <c r="H21" s="292"/>
      <c r="I21" s="292"/>
      <c r="J21" s="292"/>
      <c r="K21" s="292"/>
      <c r="L21" s="292"/>
      <c r="M21" s="292"/>
      <c r="N21" s="292">
        <f t="shared" si="0"/>
        <v>0.25</v>
      </c>
      <c r="O21" s="296">
        <f t="shared" si="1"/>
        <v>1991.75</v>
      </c>
      <c r="P21" s="297">
        <f ca="1">VLOOKUP(INT(O21),'Exhibit 7.3'!$A$1:$I$128,9)*N21+(1-N21)*VLOOKUP(INT(O21)+1,'Exhibit 7.3'!$A$1:$I$128,9)</f>
        <v>0.16437356232076822</v>
      </c>
      <c r="Q21" s="296"/>
    </row>
    <row r="22" spans="1:17">
      <c r="A22" s="292"/>
      <c r="B22" s="292"/>
      <c r="C22" s="292"/>
      <c r="D22" s="292"/>
      <c r="E22" s="292"/>
      <c r="F22" s="292"/>
      <c r="G22" s="292"/>
      <c r="H22" s="292"/>
      <c r="I22" s="292"/>
      <c r="J22" s="292"/>
      <c r="K22" s="292"/>
      <c r="L22" s="292"/>
      <c r="M22" s="292"/>
      <c r="N22" s="292">
        <f t="shared" si="0"/>
        <v>1</v>
      </c>
      <c r="O22" s="296">
        <f t="shared" si="1"/>
        <v>1992</v>
      </c>
      <c r="P22" s="297">
        <f ca="1">VLOOKUP(INT(O22),'Exhibit 7.3'!$A$1:$I$128,9)*N22+(1-N22)*VLOOKUP(INT(O22)+1,'Exhibit 7.3'!$A$1:$I$128,9)</f>
        <v>0.16284736581967613</v>
      </c>
      <c r="Q22" s="296"/>
    </row>
    <row r="23" spans="1:17">
      <c r="A23" s="292"/>
      <c r="B23" s="292"/>
      <c r="C23" s="292"/>
      <c r="D23" s="292"/>
      <c r="E23" s="292"/>
      <c r="F23" s="292"/>
      <c r="G23" s="292"/>
      <c r="H23" s="292"/>
      <c r="I23" s="292"/>
      <c r="J23" s="292"/>
      <c r="K23" s="292"/>
      <c r="L23" s="292"/>
      <c r="M23" s="292"/>
      <c r="N23" s="292">
        <f t="shared" si="0"/>
        <v>0.75</v>
      </c>
      <c r="O23" s="296">
        <f t="shared" si="1"/>
        <v>1992.25</v>
      </c>
      <c r="P23" s="297">
        <f ca="1">VLOOKUP(INT(O23),'Exhibit 7.3'!$A$1:$I$128,9)*N23+(1-N23)*VLOOKUP(INT(O23)+1,'Exhibit 7.3'!$A$1:$I$128,9)</f>
        <v>0.16366128396883348</v>
      </c>
      <c r="Q23" s="296"/>
    </row>
    <row r="24" spans="1:17">
      <c r="A24" s="292"/>
      <c r="B24" s="292"/>
      <c r="C24" s="292"/>
      <c r="D24" s="292"/>
      <c r="E24" s="292"/>
      <c r="F24" s="292"/>
      <c r="G24" s="292"/>
      <c r="H24" s="292"/>
      <c r="I24" s="292"/>
      <c r="J24" s="292"/>
      <c r="K24" s="292"/>
      <c r="L24" s="292"/>
      <c r="M24" s="292"/>
      <c r="N24" s="292">
        <f t="shared" si="0"/>
        <v>0.5</v>
      </c>
      <c r="O24" s="296">
        <f t="shared" si="1"/>
        <v>1992.5</v>
      </c>
      <c r="P24" s="297">
        <f ca="1">VLOOKUP(INT(O24),'Exhibit 7.3'!$A$1:$I$128,9)*N24+(1-N24)*VLOOKUP(INT(O24)+1,'Exhibit 7.3'!$A$1:$I$128,9)</f>
        <v>0.16447520211799083</v>
      </c>
      <c r="Q24" s="296"/>
    </row>
    <row r="25" spans="1:17">
      <c r="A25" s="292"/>
      <c r="B25" s="292"/>
      <c r="C25" s="292"/>
      <c r="D25" s="292"/>
      <c r="E25" s="292"/>
      <c r="F25" s="292"/>
      <c r="G25" s="292"/>
      <c r="H25" s="292"/>
      <c r="I25" s="292"/>
      <c r="J25" s="292"/>
      <c r="K25" s="292"/>
      <c r="L25" s="292"/>
      <c r="M25" s="292"/>
      <c r="N25" s="292">
        <f t="shared" si="0"/>
        <v>0.25</v>
      </c>
      <c r="O25" s="296">
        <f t="shared" si="1"/>
        <v>1992.75</v>
      </c>
      <c r="P25" s="297">
        <f ca="1">VLOOKUP(INT(O25),'Exhibit 7.3'!$A$1:$I$128,9)*N25+(1-N25)*VLOOKUP(INT(O25)+1,'Exhibit 7.3'!$A$1:$I$128,9)</f>
        <v>0.16528912026714815</v>
      </c>
      <c r="Q25" s="296"/>
    </row>
    <row r="26" spans="1:17">
      <c r="A26" s="292"/>
      <c r="B26" s="292"/>
      <c r="C26" s="292"/>
      <c r="D26" s="292"/>
      <c r="E26" s="292"/>
      <c r="F26" s="292"/>
      <c r="G26" s="292"/>
      <c r="H26" s="292"/>
      <c r="I26" s="292"/>
      <c r="J26" s="292"/>
      <c r="K26" s="292"/>
      <c r="L26" s="292"/>
      <c r="M26" s="292"/>
      <c r="N26" s="292">
        <f t="shared" si="0"/>
        <v>1</v>
      </c>
      <c r="O26" s="296">
        <f t="shared" si="1"/>
        <v>1993</v>
      </c>
      <c r="P26" s="297">
        <f ca="1">VLOOKUP(INT(O26),'Exhibit 7.3'!$A$1:$I$128,9)*N26+(1-N26)*VLOOKUP(INT(O26)+1,'Exhibit 7.3'!$A$1:$I$128,9)</f>
        <v>0.1661030384163055</v>
      </c>
      <c r="Q26" s="296"/>
    </row>
    <row r="27" spans="1:17">
      <c r="A27" s="292"/>
      <c r="B27" s="292"/>
      <c r="C27" s="292"/>
      <c r="D27" s="292"/>
      <c r="E27" s="292"/>
      <c r="F27" s="292"/>
      <c r="G27" s="292"/>
      <c r="H27" s="292"/>
      <c r="I27" s="292"/>
      <c r="J27" s="292"/>
      <c r="K27" s="292"/>
      <c r="L27" s="292"/>
      <c r="M27" s="292"/>
      <c r="N27" s="292">
        <f t="shared" si="0"/>
        <v>0.75</v>
      </c>
      <c r="O27" s="296">
        <f t="shared" si="1"/>
        <v>1993.25</v>
      </c>
      <c r="P27" s="297">
        <f ca="1">VLOOKUP(INT(O27),'Exhibit 7.3'!$A$1:$I$128,9)*N27+(1-N27)*VLOOKUP(INT(O27)+1,'Exhibit 7.3'!$A$1:$I$128,9)</f>
        <v>0.16888100752551499</v>
      </c>
      <c r="Q27" s="296"/>
    </row>
    <row r="28" spans="1:17">
      <c r="A28" s="292"/>
      <c r="B28" s="292"/>
      <c r="C28" s="292"/>
      <c r="D28" s="292"/>
      <c r="E28" s="292"/>
      <c r="F28" s="292"/>
      <c r="G28" s="292"/>
      <c r="H28" s="292"/>
      <c r="I28" s="292"/>
      <c r="J28" s="292"/>
      <c r="K28" s="292"/>
      <c r="L28" s="292"/>
      <c r="M28" s="292"/>
      <c r="N28" s="292">
        <f t="shared" si="0"/>
        <v>0.5</v>
      </c>
      <c r="O28" s="296">
        <f t="shared" si="1"/>
        <v>1993.5</v>
      </c>
      <c r="P28" s="297">
        <f ca="1">VLOOKUP(INT(O28),'Exhibit 7.3'!$A$1:$I$128,9)*N28+(1-N28)*VLOOKUP(INT(O28)+1,'Exhibit 7.3'!$A$1:$I$128,9)</f>
        <v>0.17165897663472446</v>
      </c>
      <c r="Q28" s="296"/>
    </row>
    <row r="29" spans="1:17">
      <c r="A29" s="292"/>
      <c r="B29" s="292"/>
      <c r="C29" s="292"/>
      <c r="D29" s="292"/>
      <c r="E29" s="292"/>
      <c r="F29" s="292"/>
      <c r="G29" s="292"/>
      <c r="H29" s="292"/>
      <c r="I29" s="292"/>
      <c r="J29" s="292"/>
      <c r="K29" s="292"/>
      <c r="L29" s="292"/>
      <c r="M29" s="292"/>
      <c r="N29" s="292">
        <f t="shared" si="0"/>
        <v>0.25</v>
      </c>
      <c r="O29" s="296">
        <f t="shared" si="1"/>
        <v>1993.75</v>
      </c>
      <c r="P29" s="297">
        <f ca="1">VLOOKUP(INT(O29),'Exhibit 7.3'!$A$1:$I$128,9)*N29+(1-N29)*VLOOKUP(INT(O29)+1,'Exhibit 7.3'!$A$1:$I$128,9)</f>
        <v>0.1744369457439339</v>
      </c>
      <c r="Q29" s="296"/>
    </row>
    <row r="30" spans="1:17">
      <c r="A30" s="292"/>
      <c r="B30" s="292"/>
      <c r="C30" s="292"/>
      <c r="D30" s="292"/>
      <c r="E30" s="292"/>
      <c r="F30" s="292"/>
      <c r="G30" s="292"/>
      <c r="H30" s="292"/>
      <c r="I30" s="292"/>
      <c r="J30" s="292"/>
      <c r="K30" s="292"/>
      <c r="L30" s="292"/>
      <c r="M30" s="292"/>
      <c r="N30" s="292">
        <f t="shared" si="0"/>
        <v>1</v>
      </c>
      <c r="O30" s="296">
        <f t="shared" si="1"/>
        <v>1994</v>
      </c>
      <c r="P30" s="297">
        <f ca="1">VLOOKUP(INT(O30),'Exhibit 7.3'!$A$1:$I$128,9)*N30+(1-N30)*VLOOKUP(INT(O30)+1,'Exhibit 7.3'!$A$1:$I$128,9)</f>
        <v>0.17721491485314339</v>
      </c>
      <c r="Q30" s="296"/>
    </row>
    <row r="31" spans="1:17">
      <c r="A31" s="292"/>
      <c r="B31" s="292"/>
      <c r="C31" s="292"/>
      <c r="D31" s="292"/>
      <c r="E31" s="292"/>
      <c r="F31" s="292"/>
      <c r="G31" s="292"/>
      <c r="H31" s="292"/>
      <c r="I31" s="292"/>
      <c r="J31" s="292"/>
      <c r="K31" s="292"/>
      <c r="L31" s="292"/>
      <c r="M31" s="298"/>
      <c r="N31" s="292">
        <f t="shared" si="0"/>
        <v>0.75</v>
      </c>
      <c r="O31" s="296">
        <f t="shared" si="1"/>
        <v>1994.25</v>
      </c>
      <c r="P31" s="297">
        <f ca="1">VLOOKUP(INT(O31),'Exhibit 7.3'!$A$1:$I$128,9)*N31+(1-N31)*VLOOKUP(INT(O31)+1,'Exhibit 7.3'!$A$1:$I$128,9)</f>
        <v>0.18212276017357451</v>
      </c>
      <c r="Q31" s="296"/>
    </row>
    <row r="32" spans="1:17" ht="14.5">
      <c r="A32" s="292"/>
      <c r="B32" s="292"/>
      <c r="C32" s="292"/>
      <c r="D32" s="292"/>
      <c r="E32" s="292"/>
      <c r="F32" s="292"/>
      <c r="G32" s="292"/>
      <c r="H32" s="292"/>
      <c r="I32" s="292"/>
      <c r="J32" s="292"/>
      <c r="K32" s="292"/>
      <c r="L32" s="292"/>
      <c r="M32"/>
      <c r="N32" s="292">
        <f t="shared" si="0"/>
        <v>0.5</v>
      </c>
      <c r="O32" s="296">
        <f t="shared" si="1"/>
        <v>1994.5</v>
      </c>
      <c r="P32" s="297">
        <f ca="1">VLOOKUP(INT(O32),'Exhibit 7.3'!$A$1:$I$128,9)*N32+(1-N32)*VLOOKUP(INT(O32)+1,'Exhibit 7.3'!$A$1:$I$128,9)</f>
        <v>0.18703060549400566</v>
      </c>
      <c r="Q32" s="296"/>
    </row>
    <row r="33" spans="1:17">
      <c r="A33" s="292"/>
      <c r="B33" s="292"/>
      <c r="C33" s="292"/>
      <c r="D33" s="292"/>
      <c r="E33" s="292"/>
      <c r="F33" s="292"/>
      <c r="G33" s="292"/>
      <c r="H33" s="292"/>
      <c r="I33" s="292"/>
      <c r="J33" s="292"/>
      <c r="K33" s="292"/>
      <c r="L33" s="292"/>
      <c r="M33" s="292"/>
      <c r="N33" s="292">
        <f t="shared" si="0"/>
        <v>0.25</v>
      </c>
      <c r="O33" s="296">
        <f t="shared" si="1"/>
        <v>1994.75</v>
      </c>
      <c r="P33" s="297">
        <f ca="1">VLOOKUP(INT(O33),'Exhibit 7.3'!$A$1:$I$128,9)*N33+(1-N33)*VLOOKUP(INT(O33)+1,'Exhibit 7.3'!$A$1:$I$128,9)</f>
        <v>0.19193845081443678</v>
      </c>
      <c r="Q33" s="296"/>
    </row>
    <row r="34" spans="1:17">
      <c r="A34" s="292"/>
      <c r="B34" s="292"/>
      <c r="C34" s="292"/>
      <c r="D34" s="292"/>
      <c r="E34" s="292"/>
      <c r="F34" s="292"/>
      <c r="G34" s="292"/>
      <c r="H34" s="292"/>
      <c r="I34" s="292"/>
      <c r="J34" s="292"/>
      <c r="K34" s="292"/>
      <c r="L34" s="292"/>
      <c r="M34" s="292"/>
      <c r="N34" s="292">
        <f t="shared" si="0"/>
        <v>1</v>
      </c>
      <c r="O34" s="296">
        <f t="shared" si="1"/>
        <v>1995</v>
      </c>
      <c r="P34" s="297">
        <f ca="1">VLOOKUP(INT(O34),'Exhibit 7.3'!$A$1:$I$128,9)*N34+(1-N34)*VLOOKUP(INT(O34)+1,'Exhibit 7.3'!$A$1:$I$128,9)</f>
        <v>0.19684629613486793</v>
      </c>
      <c r="Q34" s="296"/>
    </row>
    <row r="35" spans="1:17">
      <c r="A35" s="292"/>
      <c r="B35" s="292"/>
      <c r="C35" s="292"/>
      <c r="D35" s="292"/>
      <c r="E35" s="292"/>
      <c r="F35" s="292"/>
      <c r="G35" s="292"/>
      <c r="H35" s="292"/>
      <c r="I35" s="292"/>
      <c r="J35" s="292"/>
      <c r="K35" s="292"/>
      <c r="L35" s="292"/>
      <c r="M35" s="292"/>
      <c r="N35" s="292">
        <f t="shared" si="0"/>
        <v>0.75</v>
      </c>
      <c r="O35" s="296">
        <f t="shared" si="1"/>
        <v>1995.25</v>
      </c>
      <c r="P35" s="297">
        <f ca="1">VLOOKUP(INT(O35),'Exhibit 7.3'!$A$1:$I$128,9)*N35+(1-N35)*VLOOKUP(INT(O35)+1,'Exhibit 7.3'!$A$1:$I$128,9)</f>
        <v>0.19841949544753529</v>
      </c>
      <c r="Q35" s="296"/>
    </row>
    <row r="36" spans="1:17">
      <c r="A36" s="395" t="s">
        <v>471</v>
      </c>
      <c r="B36" s="292"/>
      <c r="C36" s="292"/>
      <c r="D36" s="292"/>
      <c r="E36" s="292"/>
      <c r="F36" s="292"/>
      <c r="G36" s="292"/>
      <c r="H36" s="292"/>
      <c r="I36" s="292"/>
      <c r="J36" s="292"/>
      <c r="K36" s="292"/>
      <c r="L36" s="292"/>
      <c r="M36" s="292"/>
      <c r="N36" s="292">
        <f t="shared" si="0"/>
        <v>0.5</v>
      </c>
      <c r="O36" s="296">
        <f t="shared" si="1"/>
        <v>1995.5</v>
      </c>
      <c r="P36" s="297">
        <f ca="1">VLOOKUP(INT(O36),'Exhibit 7.3'!$A$1:$I$128,9)*N36+(1-N36)*VLOOKUP(INT(O36)+1,'Exhibit 7.3'!$A$1:$I$128,9)</f>
        <v>0.19999269476020268</v>
      </c>
      <c r="Q36" s="296"/>
    </row>
    <row r="37" spans="1:17" ht="12.75" customHeight="1">
      <c r="A37" s="535" t="s">
        <v>502</v>
      </c>
      <c r="B37" s="536"/>
      <c r="C37" s="536"/>
      <c r="D37" s="536"/>
      <c r="E37" s="536"/>
      <c r="F37" s="536"/>
      <c r="G37" s="536"/>
      <c r="H37" s="536"/>
      <c r="I37" s="536"/>
      <c r="J37" s="536"/>
      <c r="K37" s="536"/>
      <c r="L37" s="292"/>
      <c r="M37" s="292"/>
      <c r="N37" s="292">
        <f t="shared" si="0"/>
        <v>0.25</v>
      </c>
      <c r="O37" s="296">
        <f t="shared" si="1"/>
        <v>1995.75</v>
      </c>
      <c r="P37" s="297">
        <f ca="1">VLOOKUP(INT(O37),'Exhibit 7.3'!$A$1:$I$128,9)*N37+(1-N37)*VLOOKUP(INT(O37)+1,'Exhibit 7.3'!$A$1:$I$128,9)</f>
        <v>0.20156589407287004</v>
      </c>
      <c r="Q37" s="296"/>
    </row>
    <row r="38" spans="1:17" ht="12.75" customHeight="1">
      <c r="A38" s="536"/>
      <c r="B38" s="536"/>
      <c r="C38" s="536"/>
      <c r="D38" s="536"/>
      <c r="E38" s="536"/>
      <c r="F38" s="536"/>
      <c r="G38" s="536"/>
      <c r="H38" s="536"/>
      <c r="I38" s="536"/>
      <c r="J38" s="536"/>
      <c r="K38" s="536"/>
      <c r="L38" s="292"/>
      <c r="M38" s="292"/>
      <c r="N38" s="292">
        <f t="shared" si="0"/>
        <v>1</v>
      </c>
      <c r="O38" s="296">
        <f t="shared" si="1"/>
        <v>1996</v>
      </c>
      <c r="P38" s="297">
        <f ca="1">VLOOKUP(INT(O38),'Exhibit 7.3'!$A$1:$I$128,9)*N38+(1-N38)*VLOOKUP(INT(O38)+1,'Exhibit 7.3'!$A$1:$I$128,9)</f>
        <v>0.20313909338553743</v>
      </c>
      <c r="Q38" s="296"/>
    </row>
    <row r="39" spans="1:17">
      <c r="A39" s="292"/>
      <c r="B39" s="292"/>
      <c r="C39" s="292"/>
      <c r="D39" s="292"/>
      <c r="E39" s="292"/>
      <c r="F39" s="292"/>
      <c r="G39" s="292"/>
      <c r="H39" s="292"/>
      <c r="I39" s="292"/>
      <c r="J39" s="292"/>
      <c r="K39" s="292"/>
      <c r="L39" s="292"/>
      <c r="M39" s="292"/>
      <c r="N39" s="292">
        <f t="shared" si="0"/>
        <v>0.75</v>
      </c>
      <c r="O39" s="296">
        <f t="shared" si="1"/>
        <v>1996.25</v>
      </c>
      <c r="P39" s="297">
        <f ca="1">VLOOKUP(INT(O39),'Exhibit 7.3'!$A$1:$I$128,9)*N39+(1-N39)*VLOOKUP(INT(O39)+1,'Exhibit 7.3'!$A$1:$I$128,9)</f>
        <v>0.21072504898152972</v>
      </c>
      <c r="Q39" s="296"/>
    </row>
    <row r="40" spans="1:17">
      <c r="A40" s="292"/>
      <c r="B40" s="292"/>
      <c r="C40" s="292"/>
      <c r="D40" s="292"/>
      <c r="E40" s="292"/>
      <c r="F40" s="292"/>
      <c r="G40" s="292"/>
      <c r="H40" s="292"/>
      <c r="I40" s="292"/>
      <c r="J40" s="292"/>
      <c r="K40" s="292"/>
      <c r="L40" s="292"/>
      <c r="M40" s="292"/>
      <c r="N40" s="292">
        <f t="shared" si="0"/>
        <v>0.5</v>
      </c>
      <c r="O40" s="296">
        <f t="shared" si="1"/>
        <v>1996.5</v>
      </c>
      <c r="P40" s="297">
        <f ca="1">VLOOKUP(INT(O40),'Exhibit 7.3'!$A$1:$I$128,9)*N40+(1-N40)*VLOOKUP(INT(O40)+1,'Exhibit 7.3'!$A$1:$I$128,9)</f>
        <v>0.21831100457752201</v>
      </c>
      <c r="Q40" s="296"/>
    </row>
    <row r="41" spans="1:17">
      <c r="A41" s="292"/>
      <c r="B41" s="292"/>
      <c r="C41" s="292"/>
      <c r="D41" s="292"/>
      <c r="E41" s="292"/>
      <c r="F41" s="292"/>
      <c r="G41" s="292"/>
      <c r="H41" s="292"/>
      <c r="I41" s="292"/>
      <c r="J41" s="292"/>
      <c r="K41" s="292"/>
      <c r="L41" s="292"/>
      <c r="M41" s="292"/>
      <c r="N41" s="292">
        <f t="shared" si="0"/>
        <v>0.25</v>
      </c>
      <c r="O41" s="296">
        <f t="shared" si="1"/>
        <v>1996.75</v>
      </c>
      <c r="P41" s="297">
        <f ca="1">VLOOKUP(INT(O41),'Exhibit 7.3'!$A$1:$I$128,9)*N41+(1-N41)*VLOOKUP(INT(O41)+1,'Exhibit 7.3'!$A$1:$I$128,9)</f>
        <v>0.22589696017351429</v>
      </c>
      <c r="Q41" s="296"/>
    </row>
    <row r="42" spans="1:17">
      <c r="A42" s="292"/>
      <c r="B42" s="292"/>
      <c r="C42" s="292"/>
      <c r="D42" s="292"/>
      <c r="E42" s="292"/>
      <c r="F42" s="292"/>
      <c r="G42" s="292"/>
      <c r="H42" s="292"/>
      <c r="I42" s="292"/>
      <c r="J42" s="292"/>
      <c r="K42" s="292"/>
      <c r="L42" s="292"/>
      <c r="M42" s="292"/>
      <c r="N42" s="292">
        <f t="shared" si="0"/>
        <v>1</v>
      </c>
      <c r="O42" s="296">
        <f t="shared" si="1"/>
        <v>1997</v>
      </c>
      <c r="P42" s="297">
        <f ca="1">VLOOKUP(INT(O42),'Exhibit 7.3'!$A$1:$I$128,9)*N42+(1-N42)*VLOOKUP(INT(O42)+1,'Exhibit 7.3'!$A$1:$I$128,9)</f>
        <v>0.23348291576950658</v>
      </c>
      <c r="Q42" s="296"/>
    </row>
    <row r="43" spans="1:17">
      <c r="A43" s="292"/>
      <c r="B43" s="292"/>
      <c r="C43" s="292"/>
      <c r="D43" s="292"/>
      <c r="E43" s="292"/>
      <c r="F43" s="292"/>
      <c r="G43" s="292"/>
      <c r="H43" s="292"/>
      <c r="I43" s="292"/>
      <c r="J43" s="292"/>
      <c r="K43" s="292"/>
      <c r="L43" s="292"/>
      <c r="M43" s="292"/>
      <c r="N43" s="292">
        <f t="shared" si="0"/>
        <v>0.75</v>
      </c>
      <c r="O43" s="296">
        <f t="shared" si="1"/>
        <v>1997.25</v>
      </c>
      <c r="P43" s="297">
        <f ca="1">VLOOKUP(INT(O43),'Exhibit 7.3'!$A$1:$I$128,9)*N43+(1-N43)*VLOOKUP(INT(O43)+1,'Exhibit 7.3'!$A$1:$I$128,9)</f>
        <v>0.23614038718569438</v>
      </c>
      <c r="Q43" s="296"/>
    </row>
    <row r="44" spans="1:17">
      <c r="A44" s="292"/>
      <c r="B44" s="292"/>
      <c r="C44" s="292"/>
      <c r="D44" s="292"/>
      <c r="E44" s="292"/>
      <c r="F44" s="292"/>
      <c r="G44" s="292"/>
      <c r="H44" s="292"/>
      <c r="I44" s="292"/>
      <c r="J44" s="292"/>
      <c r="K44" s="292"/>
      <c r="L44" s="292"/>
      <c r="M44" s="292"/>
      <c r="N44" s="292">
        <f t="shared" si="0"/>
        <v>0.5</v>
      </c>
      <c r="O44" s="296">
        <f t="shared" si="1"/>
        <v>1997.5</v>
      </c>
      <c r="P44" s="297">
        <f ca="1">VLOOKUP(INT(O44),'Exhibit 7.3'!$A$1:$I$128,9)*N44+(1-N44)*VLOOKUP(INT(O44)+1,'Exhibit 7.3'!$A$1:$I$128,9)</f>
        <v>0.23879785860188224</v>
      </c>
      <c r="Q44" s="296"/>
    </row>
    <row r="45" spans="1:17">
      <c r="A45" s="292"/>
      <c r="B45" s="292"/>
      <c r="C45" s="292"/>
      <c r="D45" s="292"/>
      <c r="E45" s="292"/>
      <c r="F45" s="292"/>
      <c r="G45" s="292"/>
      <c r="H45" s="292"/>
      <c r="I45" s="292"/>
      <c r="J45" s="292"/>
      <c r="K45" s="292"/>
      <c r="L45" s="292"/>
      <c r="M45" s="292"/>
      <c r="N45" s="292">
        <f t="shared" si="0"/>
        <v>0.25</v>
      </c>
      <c r="O45" s="296">
        <f t="shared" si="1"/>
        <v>1997.75</v>
      </c>
      <c r="P45" s="297">
        <f ca="1">VLOOKUP(INT(O45),'Exhibit 7.3'!$A$1:$I$128,9)*N45+(1-N45)*VLOOKUP(INT(O45)+1,'Exhibit 7.3'!$A$1:$I$128,9)</f>
        <v>0.24145533001807007</v>
      </c>
      <c r="Q45" s="296"/>
    </row>
    <row r="46" spans="1:17">
      <c r="A46" s="292"/>
      <c r="B46" s="292"/>
      <c r="C46" s="292"/>
      <c r="D46" s="292"/>
      <c r="E46" s="292"/>
      <c r="F46" s="292"/>
      <c r="G46" s="292"/>
      <c r="H46" s="292"/>
      <c r="I46" s="292"/>
      <c r="J46" s="292"/>
      <c r="K46" s="292"/>
      <c r="L46" s="292"/>
      <c r="M46" s="292"/>
      <c r="N46" s="292">
        <f t="shared" si="0"/>
        <v>1</v>
      </c>
      <c r="O46" s="296">
        <f t="shared" si="1"/>
        <v>1998</v>
      </c>
      <c r="P46" s="297">
        <f ca="1">VLOOKUP(INT(O46),'Exhibit 7.3'!$A$1:$I$128,9)*N46+(1-N46)*VLOOKUP(INT(O46)+1,'Exhibit 7.3'!$A$1:$I$128,9)</f>
        <v>0.24411280143425787</v>
      </c>
      <c r="Q46" s="296"/>
    </row>
    <row r="47" spans="1:17">
      <c r="A47" s="292"/>
      <c r="B47" s="292"/>
      <c r="C47" s="292"/>
      <c r="D47" s="292"/>
      <c r="E47" s="292"/>
      <c r="F47" s="292"/>
      <c r="G47" s="292"/>
      <c r="H47" s="292"/>
      <c r="I47" s="292"/>
      <c r="J47" s="292"/>
      <c r="K47" s="292"/>
      <c r="L47" s="292"/>
      <c r="M47" s="292"/>
      <c r="N47" s="292">
        <f t="shared" si="0"/>
        <v>0.75</v>
      </c>
      <c r="O47" s="296">
        <f t="shared" si="1"/>
        <v>1998.25</v>
      </c>
      <c r="P47" s="297">
        <f ca="1">VLOOKUP(INT(O47),'Exhibit 7.3'!$A$1:$I$128,9)*N47+(1-N47)*VLOOKUP(INT(O47)+1,'Exhibit 7.3'!$A$1:$I$128,9)</f>
        <v>0.24424714554980409</v>
      </c>
      <c r="Q47" s="296"/>
    </row>
    <row r="48" spans="1:17">
      <c r="A48" s="292"/>
      <c r="B48" s="292"/>
      <c r="C48" s="292"/>
      <c r="D48" s="292"/>
      <c r="E48" s="292"/>
      <c r="F48" s="292"/>
      <c r="G48" s="292"/>
      <c r="H48" s="292"/>
      <c r="I48" s="292"/>
      <c r="J48" s="292"/>
      <c r="K48" s="292"/>
      <c r="L48" s="292"/>
      <c r="M48" s="292"/>
      <c r="N48" s="292">
        <f t="shared" si="0"/>
        <v>0.5</v>
      </c>
      <c r="O48" s="296">
        <f t="shared" si="1"/>
        <v>1998.5</v>
      </c>
      <c r="P48" s="297">
        <f ca="1">VLOOKUP(INT(O48),'Exhibit 7.3'!$A$1:$I$128,9)*N48+(1-N48)*VLOOKUP(INT(O48)+1,'Exhibit 7.3'!$A$1:$I$128,9)</f>
        <v>0.24438148966535028</v>
      </c>
      <c r="Q48" s="296"/>
    </row>
    <row r="49" spans="1:17">
      <c r="A49" s="292"/>
      <c r="B49" s="292"/>
      <c r="C49" s="292"/>
      <c r="D49" s="292"/>
      <c r="E49" s="292"/>
      <c r="F49" s="292"/>
      <c r="G49" s="292"/>
      <c r="H49" s="292"/>
      <c r="I49" s="292"/>
      <c r="J49" s="292"/>
      <c r="K49" s="292"/>
      <c r="L49" s="292"/>
      <c r="M49" s="292"/>
      <c r="N49" s="292">
        <f t="shared" si="0"/>
        <v>0.25</v>
      </c>
      <c r="O49" s="296">
        <f t="shared" si="1"/>
        <v>1998.75</v>
      </c>
      <c r="P49" s="297">
        <f ca="1">VLOOKUP(INT(O49),'Exhibit 7.3'!$A$1:$I$128,9)*N49+(1-N49)*VLOOKUP(INT(O49)+1,'Exhibit 7.3'!$A$1:$I$128,9)</f>
        <v>0.24451583378089647</v>
      </c>
      <c r="Q49" s="296"/>
    </row>
    <row r="50" spans="1:17">
      <c r="A50" s="292"/>
      <c r="B50" s="292"/>
      <c r="C50" s="292"/>
      <c r="D50" s="292"/>
      <c r="E50" s="292"/>
      <c r="F50" s="292"/>
      <c r="G50" s="292"/>
      <c r="H50" s="292"/>
      <c r="I50" s="292"/>
      <c r="J50" s="292"/>
      <c r="K50" s="292"/>
      <c r="L50" s="292"/>
      <c r="M50" s="292"/>
      <c r="N50" s="292">
        <f t="shared" si="0"/>
        <v>1</v>
      </c>
      <c r="O50" s="296">
        <f t="shared" si="1"/>
        <v>1999</v>
      </c>
      <c r="P50" s="297">
        <f ca="1">VLOOKUP(INT(O50),'Exhibit 7.3'!$A$1:$I$128,9)*N50+(1-N50)*VLOOKUP(INT(O50)+1,'Exhibit 7.3'!$A$1:$I$128,9)</f>
        <v>0.24465017789644269</v>
      </c>
      <c r="Q50" s="296"/>
    </row>
    <row r="51" spans="1:17">
      <c r="A51" s="292"/>
      <c r="B51" s="292"/>
      <c r="C51" s="292"/>
      <c r="D51" s="292"/>
      <c r="E51" s="292"/>
      <c r="F51" s="292"/>
      <c r="G51" s="292"/>
      <c r="H51" s="292"/>
      <c r="I51" s="292"/>
      <c r="J51" s="292"/>
      <c r="K51" s="292"/>
      <c r="L51" s="292"/>
      <c r="M51" s="292"/>
      <c r="N51" s="292">
        <f t="shared" si="0"/>
        <v>0.75</v>
      </c>
      <c r="O51" s="296">
        <f t="shared" si="1"/>
        <v>1999.25</v>
      </c>
      <c r="P51" s="297">
        <f ca="1">VLOOKUP(INT(O51),'Exhibit 7.3'!$A$1:$I$128,9)*N51+(1-N51)*VLOOKUP(INT(O51)+1,'Exhibit 7.3'!$A$1:$I$128,9)</f>
        <v>0.24787935121020765</v>
      </c>
      <c r="Q51" s="296"/>
    </row>
    <row r="52" spans="1:17">
      <c r="A52" s="292"/>
      <c r="B52" s="292"/>
      <c r="C52" s="292"/>
      <c r="D52" s="292"/>
      <c r="E52" s="292"/>
      <c r="F52" s="292"/>
      <c r="G52" s="292"/>
      <c r="H52" s="292"/>
      <c r="I52" s="292"/>
      <c r="J52" s="292"/>
      <c r="K52" s="292"/>
      <c r="L52" s="292"/>
      <c r="M52" s="292"/>
      <c r="N52" s="292">
        <f t="shared" si="0"/>
        <v>0.5</v>
      </c>
      <c r="O52" s="296">
        <f t="shared" si="1"/>
        <v>1999.5</v>
      </c>
      <c r="P52" s="297">
        <f ca="1">VLOOKUP(INT(O52),'Exhibit 7.3'!$A$1:$I$128,9)*N52+(1-N52)*VLOOKUP(INT(O52)+1,'Exhibit 7.3'!$A$1:$I$128,9)</f>
        <v>0.25110852452397264</v>
      </c>
      <c r="Q52" s="296"/>
    </row>
    <row r="53" spans="1:17">
      <c r="A53" s="292"/>
      <c r="B53" s="292"/>
      <c r="C53" s="292"/>
      <c r="D53" s="292"/>
      <c r="E53" s="292"/>
      <c r="F53" s="292"/>
      <c r="G53" s="292"/>
      <c r="H53" s="292"/>
      <c r="I53" s="292"/>
      <c r="J53" s="292"/>
      <c r="K53" s="292"/>
      <c r="L53" s="292"/>
      <c r="M53" s="292"/>
      <c r="N53" s="292">
        <f t="shared" si="0"/>
        <v>0.25</v>
      </c>
      <c r="O53" s="296">
        <f t="shared" si="1"/>
        <v>1999.75</v>
      </c>
      <c r="P53" s="297">
        <f ca="1">VLOOKUP(INT(O53),'Exhibit 7.3'!$A$1:$I$128,9)*N53+(1-N53)*VLOOKUP(INT(O53)+1,'Exhibit 7.3'!$A$1:$I$128,9)</f>
        <v>0.25433769783773758</v>
      </c>
      <c r="Q53" s="296"/>
    </row>
    <row r="54" spans="1:17">
      <c r="A54" s="292"/>
      <c r="B54" s="292"/>
      <c r="C54" s="292"/>
      <c r="D54" s="292"/>
      <c r="E54" s="292"/>
      <c r="F54" s="292"/>
      <c r="G54" s="292"/>
      <c r="H54" s="292"/>
      <c r="I54" s="292"/>
      <c r="J54" s="292"/>
      <c r="K54" s="292"/>
      <c r="L54" s="292"/>
      <c r="M54" s="292"/>
      <c r="N54" s="292">
        <f t="shared" si="0"/>
        <v>1</v>
      </c>
      <c r="O54" s="296">
        <f t="shared" si="1"/>
        <v>2000</v>
      </c>
      <c r="P54" s="297">
        <f ca="1">VLOOKUP(INT(O54),'Exhibit 7.3'!$A$1:$I$128,9)*N54+(1-N54)*VLOOKUP(INT(O54)+1,'Exhibit 7.3'!$A$1:$I$128,9)</f>
        <v>0.25756687115150256</v>
      </c>
      <c r="Q54" s="296"/>
    </row>
    <row r="55" spans="1:17">
      <c r="A55" s="292"/>
      <c r="B55" s="292"/>
      <c r="C55" s="292"/>
      <c r="D55" s="292"/>
      <c r="E55" s="292"/>
      <c r="F55" s="292"/>
      <c r="G55" s="292"/>
      <c r="H55" s="292"/>
      <c r="I55" s="292"/>
      <c r="J55" s="292"/>
      <c r="K55" s="292"/>
      <c r="L55" s="292"/>
      <c r="M55" s="292"/>
      <c r="N55" s="292">
        <f t="shared" si="0"/>
        <v>0.75</v>
      </c>
      <c r="O55" s="296">
        <f t="shared" si="1"/>
        <v>2000.25</v>
      </c>
      <c r="P55" s="297">
        <f ca="1">VLOOKUP(INT(O55),'Exhibit 7.3'!$A$1:$I$128,9)*N55+(1-N55)*VLOOKUP(INT(O55)+1,'Exhibit 7.3'!$A$1:$I$128,9)</f>
        <v>0.254413213047473</v>
      </c>
      <c r="Q55" s="296"/>
    </row>
    <row r="56" spans="1:17">
      <c r="A56" s="292"/>
      <c r="B56" s="292"/>
      <c r="C56" s="292"/>
      <c r="D56" s="292"/>
      <c r="E56" s="292"/>
      <c r="F56" s="292"/>
      <c r="G56" s="292"/>
      <c r="H56" s="292"/>
      <c r="I56" s="292"/>
      <c r="J56" s="292"/>
      <c r="K56" s="292"/>
      <c r="L56" s="292"/>
      <c r="M56" s="292"/>
      <c r="N56" s="292">
        <f t="shared" si="0"/>
        <v>0.5</v>
      </c>
      <c r="O56" s="296">
        <f t="shared" si="1"/>
        <v>2000.5</v>
      </c>
      <c r="P56" s="297">
        <f ca="1">VLOOKUP(INT(O56),'Exhibit 7.3'!$A$1:$I$128,9)*N56+(1-N56)*VLOOKUP(INT(O56)+1,'Exhibit 7.3'!$A$1:$I$128,9)</f>
        <v>0.25125955494344343</v>
      </c>
      <c r="Q56" s="296"/>
    </row>
    <row r="57" spans="1:17">
      <c r="A57" s="292"/>
      <c r="B57" s="292"/>
      <c r="C57" s="292"/>
      <c r="D57" s="292"/>
      <c r="E57" s="292"/>
      <c r="F57" s="292"/>
      <c r="G57" s="292"/>
      <c r="H57" s="292"/>
      <c r="I57" s="292"/>
      <c r="J57" s="292"/>
      <c r="K57" s="292"/>
      <c r="L57" s="292"/>
      <c r="M57" s="292"/>
      <c r="N57" s="292">
        <f t="shared" si="0"/>
        <v>0.25</v>
      </c>
      <c r="O57" s="296">
        <f t="shared" si="1"/>
        <v>2000.75</v>
      </c>
      <c r="P57" s="297">
        <f ca="1">VLOOKUP(INT(O57),'Exhibit 7.3'!$A$1:$I$128,9)*N57+(1-N57)*VLOOKUP(INT(O57)+1,'Exhibit 7.3'!$A$1:$I$128,9)</f>
        <v>0.24810589683941386</v>
      </c>
      <c r="Q57" s="296"/>
    </row>
    <row r="58" spans="1:17">
      <c r="A58" s="292"/>
      <c r="B58" s="292"/>
      <c r="C58" s="292"/>
      <c r="D58" s="292"/>
      <c r="E58" s="292"/>
      <c r="F58" s="292"/>
      <c r="G58" s="292"/>
      <c r="H58" s="292"/>
      <c r="I58" s="292"/>
      <c r="J58" s="292"/>
      <c r="K58" s="292"/>
      <c r="L58" s="292"/>
      <c r="M58" s="292"/>
      <c r="N58" s="292">
        <f t="shared" si="0"/>
        <v>1</v>
      </c>
      <c r="O58" s="296">
        <f t="shared" si="1"/>
        <v>2001</v>
      </c>
      <c r="P58" s="297">
        <f ca="1">VLOOKUP(INT(O58),'Exhibit 7.3'!$A$1:$I$128,9)*N58+(1-N58)*VLOOKUP(INT(O58)+1,'Exhibit 7.3'!$A$1:$I$128,9)</f>
        <v>0.2449522387353843</v>
      </c>
      <c r="Q58" s="296"/>
    </row>
    <row r="59" spans="1:17">
      <c r="A59" s="292"/>
      <c r="B59" s="292"/>
      <c r="C59" s="292"/>
      <c r="D59" s="292"/>
      <c r="E59" s="292"/>
      <c r="F59" s="292"/>
      <c r="G59" s="292"/>
      <c r="H59" s="292"/>
      <c r="I59" s="292"/>
      <c r="J59" s="292"/>
      <c r="K59" s="292"/>
      <c r="L59" s="292"/>
      <c r="M59" s="292"/>
      <c r="N59" s="292">
        <f t="shared" ref="N59:N119" si="2">INT(O59)-O59+1</f>
        <v>0.75</v>
      </c>
      <c r="O59" s="296">
        <f t="shared" ref="O59:O94" si="3">+O58+0.25</f>
        <v>2001.25</v>
      </c>
      <c r="P59" s="297">
        <f ca="1">VLOOKUP(INT(O59),'Exhibit 7.3'!$A$1:$I$128,9)*N59+(1-N59)*VLOOKUP(INT(O59)+1,'Exhibit 7.3'!$A$1:$I$128,9)</f>
        <v>0.24840253613125118</v>
      </c>
      <c r="Q59" s="296"/>
    </row>
    <row r="60" spans="1:17">
      <c r="A60" s="292"/>
      <c r="B60" s="292"/>
      <c r="C60" s="292"/>
      <c r="D60" s="292"/>
      <c r="E60" s="292"/>
      <c r="F60" s="292"/>
      <c r="G60" s="292"/>
      <c r="H60" s="292"/>
      <c r="I60" s="292"/>
      <c r="J60" s="292"/>
      <c r="K60" s="292"/>
      <c r="L60" s="292"/>
      <c r="M60" s="292"/>
      <c r="N60" s="292">
        <f t="shared" si="2"/>
        <v>0.5</v>
      </c>
      <c r="O60" s="296">
        <f t="shared" si="3"/>
        <v>2001.5</v>
      </c>
      <c r="P60" s="297">
        <f ca="1">VLOOKUP(INT(O60),'Exhibit 7.3'!$A$1:$I$128,9)*N60+(1-N60)*VLOOKUP(INT(O60)+1,'Exhibit 7.3'!$A$1:$I$128,9)</f>
        <v>0.25185283352711807</v>
      </c>
      <c r="Q60" s="296"/>
    </row>
    <row r="61" spans="1:17">
      <c r="A61" s="292"/>
      <c r="B61" s="292"/>
      <c r="C61" s="292"/>
      <c r="D61" s="292"/>
      <c r="E61" s="292"/>
      <c r="F61" s="292"/>
      <c r="G61" s="292"/>
      <c r="H61" s="292"/>
      <c r="I61" s="292"/>
      <c r="J61" s="292"/>
      <c r="K61" s="292"/>
      <c r="L61" s="292"/>
      <c r="M61" s="292"/>
      <c r="N61" s="292">
        <f t="shared" si="2"/>
        <v>0.25</v>
      </c>
      <c r="O61" s="296">
        <f t="shared" si="3"/>
        <v>2001.75</v>
      </c>
      <c r="P61" s="297">
        <f ca="1">VLOOKUP(INT(O61),'Exhibit 7.3'!$A$1:$I$128,9)*N61+(1-N61)*VLOOKUP(INT(O61)+1,'Exhibit 7.3'!$A$1:$I$128,9)</f>
        <v>0.25530313092298496</v>
      </c>
      <c r="Q61" s="296"/>
    </row>
    <row r="62" spans="1:17">
      <c r="A62" s="292"/>
      <c r="B62" s="292"/>
      <c r="C62" s="292"/>
      <c r="D62" s="292"/>
      <c r="E62" s="292"/>
      <c r="F62" s="292"/>
      <c r="G62" s="292"/>
      <c r="H62" s="292"/>
      <c r="I62" s="292"/>
      <c r="J62" s="292"/>
      <c r="K62" s="292"/>
      <c r="L62" s="292"/>
      <c r="M62" s="292"/>
      <c r="N62" s="292">
        <f t="shared" si="2"/>
        <v>1</v>
      </c>
      <c r="O62" s="296">
        <f t="shared" si="3"/>
        <v>2002</v>
      </c>
      <c r="P62" s="297">
        <f ca="1">VLOOKUP(INT(O62),'Exhibit 7.3'!$A$1:$I$128,9)*N62+(1-N62)*VLOOKUP(INT(O62)+1,'Exhibit 7.3'!$A$1:$I$128,9)</f>
        <v>0.2587534283188519</v>
      </c>
      <c r="Q62" s="296"/>
    </row>
    <row r="63" spans="1:17">
      <c r="A63" s="292"/>
      <c r="B63" s="292"/>
      <c r="C63" s="292"/>
      <c r="D63" s="292"/>
      <c r="E63" s="292"/>
      <c r="F63" s="292"/>
      <c r="G63" s="292"/>
      <c r="H63" s="292"/>
      <c r="I63" s="292"/>
      <c r="J63" s="292"/>
      <c r="K63" s="292"/>
      <c r="L63" s="292"/>
      <c r="M63" s="292"/>
      <c r="N63" s="292">
        <f t="shared" si="2"/>
        <v>0.75</v>
      </c>
      <c r="O63" s="296">
        <f t="shared" si="3"/>
        <v>2002.25</v>
      </c>
      <c r="P63" s="297">
        <f ca="1">VLOOKUP(INT(O63),'Exhibit 7.3'!$A$1:$I$128,9)*N63+(1-N63)*VLOOKUP(INT(O63)+1,'Exhibit 7.3'!$A$1:$I$128,9)</f>
        <v>0.25572845102525682</v>
      </c>
      <c r="Q63" s="296"/>
    </row>
    <row r="64" spans="1:17">
      <c r="A64" s="292"/>
      <c r="B64" s="292"/>
      <c r="C64" s="292"/>
      <c r="D64" s="292"/>
      <c r="E64" s="292"/>
      <c r="F64" s="292"/>
      <c r="G64" s="292"/>
      <c r="H64" s="292"/>
      <c r="I64" s="292"/>
      <c r="J64" s="292"/>
      <c r="K64" s="292"/>
      <c r="L64" s="292"/>
      <c r="M64" s="292"/>
      <c r="N64" s="292">
        <f t="shared" si="2"/>
        <v>0.5</v>
      </c>
      <c r="O64" s="296">
        <f t="shared" si="3"/>
        <v>2002.5</v>
      </c>
      <c r="P64" s="297">
        <f ca="1">VLOOKUP(INT(O64),'Exhibit 7.3'!$A$1:$I$128,9)*N64+(1-N64)*VLOOKUP(INT(O64)+1,'Exhibit 7.3'!$A$1:$I$128,9)</f>
        <v>0.2527034737316618</v>
      </c>
      <c r="Q64" s="296"/>
    </row>
    <row r="65" spans="1:17">
      <c r="A65" s="292"/>
      <c r="B65" s="292"/>
      <c r="C65" s="292"/>
      <c r="D65" s="292"/>
      <c r="E65" s="292"/>
      <c r="F65" s="292"/>
      <c r="G65" s="292"/>
      <c r="H65" s="292"/>
      <c r="I65" s="292"/>
      <c r="J65" s="292"/>
      <c r="K65" s="292"/>
      <c r="L65" s="292"/>
      <c r="M65" s="292"/>
      <c r="N65" s="292">
        <f t="shared" si="2"/>
        <v>0.25</v>
      </c>
      <c r="O65" s="296">
        <f t="shared" si="3"/>
        <v>2002.75</v>
      </c>
      <c r="P65" s="297">
        <f ca="1">VLOOKUP(INT(O65),'Exhibit 7.3'!$A$1:$I$128,9)*N65+(1-N65)*VLOOKUP(INT(O65)+1,'Exhibit 7.3'!$A$1:$I$128,9)</f>
        <v>0.24967849643806672</v>
      </c>
      <c r="Q65" s="296"/>
    </row>
    <row r="66" spans="1:17">
      <c r="A66" s="292"/>
      <c r="B66" s="292"/>
      <c r="C66" s="292"/>
      <c r="D66" s="292"/>
      <c r="E66" s="292"/>
      <c r="F66" s="292"/>
      <c r="G66" s="292"/>
      <c r="H66" s="292"/>
      <c r="I66" s="292"/>
      <c r="J66" s="292"/>
      <c r="K66" s="292"/>
      <c r="L66" s="292"/>
      <c r="M66" s="292"/>
      <c r="N66" s="292">
        <f t="shared" si="2"/>
        <v>1</v>
      </c>
      <c r="O66" s="296">
        <f t="shared" si="3"/>
        <v>2003</v>
      </c>
      <c r="P66" s="297">
        <f ca="1">VLOOKUP(INT(O66),'Exhibit 7.3'!$A$1:$I$128,9)*N66+(1-N66)*VLOOKUP(INT(O66)+1,'Exhibit 7.3'!$A$1:$I$128,9)</f>
        <v>0.24665351914447164</v>
      </c>
      <c r="Q66" s="296"/>
    </row>
    <row r="67" spans="1:17">
      <c r="A67" s="292"/>
      <c r="B67" s="292"/>
      <c r="C67" s="292"/>
      <c r="D67" s="292"/>
      <c r="E67" s="292"/>
      <c r="F67" s="292"/>
      <c r="G67" s="292"/>
      <c r="H67" s="292"/>
      <c r="I67" s="292"/>
      <c r="J67" s="292"/>
      <c r="K67" s="292"/>
      <c r="L67" s="292"/>
      <c r="M67" s="292"/>
      <c r="N67" s="292">
        <f t="shared" si="2"/>
        <v>0.75</v>
      </c>
      <c r="O67" s="296">
        <f t="shared" si="3"/>
        <v>2003.25</v>
      </c>
      <c r="P67" s="297">
        <f ca="1">VLOOKUP(INT(O67),'Exhibit 7.3'!$A$1:$I$128,9)*N67+(1-N67)*VLOOKUP(INT(O67)+1,'Exhibit 7.3'!$A$1:$I$128,9)</f>
        <v>0.25477166290550168</v>
      </c>
      <c r="Q67" s="296"/>
    </row>
    <row r="68" spans="1:17">
      <c r="A68" s="292"/>
      <c r="B68" s="292"/>
      <c r="C68" s="292"/>
      <c r="D68" s="292"/>
      <c r="E68" s="292"/>
      <c r="F68" s="292"/>
      <c r="G68" s="292"/>
      <c r="H68" s="292"/>
      <c r="I68" s="292"/>
      <c r="J68" s="292"/>
      <c r="K68" s="292"/>
      <c r="L68" s="292"/>
      <c r="M68" s="292"/>
      <c r="N68" s="292">
        <f t="shared" si="2"/>
        <v>0.5</v>
      </c>
      <c r="O68" s="296">
        <f t="shared" si="3"/>
        <v>2003.5</v>
      </c>
      <c r="P68" s="297">
        <f ca="1">VLOOKUP(INT(O68),'Exhibit 7.3'!$A$1:$I$128,9)*N68+(1-N68)*VLOOKUP(INT(O68)+1,'Exhibit 7.3'!$A$1:$I$128,9)</f>
        <v>0.26288980666653167</v>
      </c>
      <c r="Q68" s="296"/>
    </row>
    <row r="69" spans="1:17">
      <c r="A69" s="292"/>
      <c r="B69" s="292"/>
      <c r="C69" s="292"/>
      <c r="D69" s="292"/>
      <c r="E69" s="292"/>
      <c r="F69" s="292"/>
      <c r="G69" s="292"/>
      <c r="H69" s="292"/>
      <c r="I69" s="292"/>
      <c r="J69" s="292"/>
      <c r="K69" s="292"/>
      <c r="L69" s="292"/>
      <c r="M69" s="292"/>
      <c r="N69" s="292">
        <f t="shared" si="2"/>
        <v>0.25</v>
      </c>
      <c r="O69" s="296">
        <f t="shared" si="3"/>
        <v>2003.75</v>
      </c>
      <c r="P69" s="297">
        <f ca="1">VLOOKUP(INT(O69),'Exhibit 7.3'!$A$1:$I$128,9)*N69+(1-N69)*VLOOKUP(INT(O69)+1,'Exhibit 7.3'!$A$1:$I$128,9)</f>
        <v>0.27100795042756165</v>
      </c>
      <c r="Q69" s="296"/>
    </row>
    <row r="70" spans="1:17">
      <c r="A70" s="292"/>
      <c r="B70" s="292"/>
      <c r="C70" s="292"/>
      <c r="D70" s="292"/>
      <c r="E70" s="292"/>
      <c r="F70" s="292"/>
      <c r="G70" s="292"/>
      <c r="H70" s="292"/>
      <c r="I70" s="292"/>
      <c r="J70" s="292"/>
      <c r="K70" s="292"/>
      <c r="L70" s="292"/>
      <c r="M70" s="292"/>
      <c r="N70" s="292">
        <f t="shared" si="2"/>
        <v>1</v>
      </c>
      <c r="O70" s="296">
        <f t="shared" si="3"/>
        <v>2004</v>
      </c>
      <c r="P70" s="297">
        <f ca="1">VLOOKUP(INT(O70),'Exhibit 7.3'!$A$1:$I$128,9)*N70+(1-N70)*VLOOKUP(INT(O70)+1,'Exhibit 7.3'!$A$1:$I$128,9)</f>
        <v>0.27912609418859169</v>
      </c>
      <c r="Q70" s="296"/>
    </row>
    <row r="71" spans="1:17">
      <c r="A71" s="292"/>
      <c r="B71" s="292"/>
      <c r="C71" s="292"/>
      <c r="D71" s="292"/>
      <c r="E71" s="292"/>
      <c r="F71" s="292"/>
      <c r="G71" s="292"/>
      <c r="H71" s="292"/>
      <c r="I71" s="292"/>
      <c r="J71" s="292"/>
      <c r="K71" s="292"/>
      <c r="L71" s="292"/>
      <c r="M71" s="292"/>
      <c r="N71" s="292">
        <f t="shared" si="2"/>
        <v>0.75</v>
      </c>
      <c r="O71" s="296">
        <f t="shared" si="3"/>
        <v>2004.25</v>
      </c>
      <c r="P71" s="297">
        <f ca="1">VLOOKUP(INT(O71),'Exhibit 7.3'!$A$1:$I$128,9)*N71+(1-N71)*VLOOKUP(INT(O71)+1,'Exhibit 7.3'!$A$1:$I$128,9)</f>
        <v>0.28134794522359319</v>
      </c>
      <c r="Q71" s="296"/>
    </row>
    <row r="72" spans="1:17">
      <c r="A72" s="292"/>
      <c r="B72" s="292"/>
      <c r="C72" s="292"/>
      <c r="D72" s="292"/>
      <c r="E72" s="292"/>
      <c r="F72" s="292"/>
      <c r="G72" s="292"/>
      <c r="H72" s="292"/>
      <c r="I72" s="292"/>
      <c r="J72" s="292"/>
      <c r="K72" s="292"/>
      <c r="L72" s="292"/>
      <c r="M72" s="292"/>
      <c r="N72" s="292">
        <f t="shared" si="2"/>
        <v>0.5</v>
      </c>
      <c r="O72" s="296">
        <f t="shared" si="3"/>
        <v>2004.5</v>
      </c>
      <c r="P72" s="297">
        <f ca="1">VLOOKUP(INT(O72),'Exhibit 7.3'!$A$1:$I$128,9)*N72+(1-N72)*VLOOKUP(INT(O72)+1,'Exhibit 7.3'!$A$1:$I$128,9)</f>
        <v>0.28356979625859469</v>
      </c>
      <c r="Q72" s="296"/>
    </row>
    <row r="73" spans="1:17">
      <c r="A73" s="292"/>
      <c r="B73" s="292"/>
      <c r="C73" s="292"/>
      <c r="D73" s="292"/>
      <c r="E73" s="292"/>
      <c r="F73" s="292"/>
      <c r="G73" s="292"/>
      <c r="H73" s="292"/>
      <c r="I73" s="292"/>
      <c r="J73" s="292"/>
      <c r="K73" s="292"/>
      <c r="L73" s="292"/>
      <c r="M73" s="292"/>
      <c r="N73" s="292">
        <f t="shared" si="2"/>
        <v>0.25</v>
      </c>
      <c r="O73" s="296">
        <f t="shared" si="3"/>
        <v>2004.75</v>
      </c>
      <c r="P73" s="297">
        <f ca="1">VLOOKUP(INT(O73),'Exhibit 7.3'!$A$1:$I$128,9)*N73+(1-N73)*VLOOKUP(INT(O73)+1,'Exhibit 7.3'!$A$1:$I$128,9)</f>
        <v>0.28579164729359618</v>
      </c>
      <c r="Q73" s="296"/>
    </row>
    <row r="74" spans="1:17">
      <c r="A74" s="292"/>
      <c r="B74" s="292"/>
      <c r="C74" s="292"/>
      <c r="D74" s="292"/>
      <c r="E74" s="292"/>
      <c r="F74" s="292"/>
      <c r="G74" s="292"/>
      <c r="H74" s="292"/>
      <c r="I74" s="292"/>
      <c r="J74" s="292"/>
      <c r="K74" s="292"/>
      <c r="L74" s="292"/>
      <c r="M74" s="292"/>
      <c r="N74" s="292">
        <f t="shared" si="2"/>
        <v>1</v>
      </c>
      <c r="O74" s="296">
        <f t="shared" si="3"/>
        <v>2005</v>
      </c>
      <c r="P74" s="297">
        <f ca="1">VLOOKUP(INT(O74),'Exhibit 7.3'!$A$1:$I$128,9)*N74+(1-N74)*VLOOKUP(INT(O74)+1,'Exhibit 7.3'!$A$1:$I$128,9)</f>
        <v>0.28801349832859763</v>
      </c>
      <c r="Q74" s="296"/>
    </row>
    <row r="75" spans="1:17">
      <c r="A75" s="292"/>
      <c r="B75" s="292"/>
      <c r="C75" s="292"/>
      <c r="D75" s="292"/>
      <c r="E75" s="292"/>
      <c r="F75" s="292"/>
      <c r="G75" s="292"/>
      <c r="H75" s="292"/>
      <c r="I75" s="292"/>
      <c r="J75" s="292"/>
      <c r="K75" s="292"/>
      <c r="L75" s="292"/>
      <c r="M75" s="292"/>
      <c r="N75" s="292">
        <f t="shared" si="2"/>
        <v>0.75</v>
      </c>
      <c r="O75" s="296">
        <f t="shared" si="3"/>
        <v>2005.25</v>
      </c>
      <c r="P75" s="297">
        <f ca="1">VLOOKUP(INT(O75),'Exhibit 7.3'!$A$1:$I$128,9)*N75+(1-N75)*VLOOKUP(INT(O75)+1,'Exhibit 7.3'!$A$1:$I$128,9)</f>
        <v>0.29232778533897591</v>
      </c>
      <c r="Q75" s="296"/>
    </row>
    <row r="76" spans="1:17">
      <c r="A76" s="292"/>
      <c r="B76" s="292"/>
      <c r="C76" s="292"/>
      <c r="D76" s="292"/>
      <c r="E76" s="292"/>
      <c r="F76" s="292"/>
      <c r="G76" s="292"/>
      <c r="H76" s="292"/>
      <c r="I76" s="292"/>
      <c r="J76" s="292"/>
      <c r="K76" s="292"/>
      <c r="L76" s="292"/>
      <c r="M76" s="292"/>
      <c r="N76" s="292">
        <f t="shared" si="2"/>
        <v>0.5</v>
      </c>
      <c r="O76" s="296">
        <f t="shared" si="3"/>
        <v>2005.5</v>
      </c>
      <c r="P76" s="297">
        <f ca="1">VLOOKUP(INT(O76),'Exhibit 7.3'!$A$1:$I$128,9)*N76+(1-N76)*VLOOKUP(INT(O76)+1,'Exhibit 7.3'!$A$1:$I$128,9)</f>
        <v>0.29664207234935414</v>
      </c>
      <c r="Q76" s="296"/>
    </row>
    <row r="77" spans="1:17">
      <c r="A77" s="292"/>
      <c r="B77" s="292"/>
      <c r="C77" s="292"/>
      <c r="D77" s="292"/>
      <c r="E77" s="292"/>
      <c r="F77" s="292"/>
      <c r="G77" s="292"/>
      <c r="H77" s="292"/>
      <c r="I77" s="292"/>
      <c r="J77" s="292"/>
      <c r="K77" s="292"/>
      <c r="L77" s="292"/>
      <c r="M77" s="292"/>
      <c r="N77" s="292">
        <f t="shared" si="2"/>
        <v>0.25</v>
      </c>
      <c r="O77" s="296">
        <f t="shared" si="3"/>
        <v>2005.75</v>
      </c>
      <c r="P77" s="297">
        <f ca="1">VLOOKUP(INT(O77),'Exhibit 7.3'!$A$1:$I$128,9)*N77+(1-N77)*VLOOKUP(INT(O77)+1,'Exhibit 7.3'!$A$1:$I$128,9)</f>
        <v>0.30095635935973242</v>
      </c>
      <c r="Q77" s="296"/>
    </row>
    <row r="78" spans="1:17">
      <c r="A78" s="292"/>
      <c r="B78" s="292"/>
      <c r="C78" s="292"/>
      <c r="D78" s="292"/>
      <c r="E78" s="292"/>
      <c r="F78" s="292"/>
      <c r="G78" s="292"/>
      <c r="H78" s="292"/>
      <c r="I78" s="292"/>
      <c r="J78" s="292"/>
      <c r="K78" s="292"/>
      <c r="L78" s="292"/>
      <c r="M78" s="292"/>
      <c r="N78" s="292">
        <f t="shared" si="2"/>
        <v>1</v>
      </c>
      <c r="O78" s="296">
        <f t="shared" si="3"/>
        <v>2006</v>
      </c>
      <c r="P78" s="297">
        <f ca="1">VLOOKUP(INT(O78),'Exhibit 7.3'!$A$1:$I$128,9)*N78+(1-N78)*VLOOKUP(INT(O78)+1,'Exhibit 7.3'!$A$1:$I$128,9)</f>
        <v>0.3052706463701107</v>
      </c>
      <c r="Q78" s="296"/>
    </row>
    <row r="79" spans="1:17">
      <c r="A79" s="292"/>
      <c r="B79" s="292"/>
      <c r="C79" s="292"/>
      <c r="D79" s="292"/>
      <c r="E79" s="292"/>
      <c r="F79" s="292"/>
      <c r="G79" s="292"/>
      <c r="H79" s="292"/>
      <c r="I79" s="292"/>
      <c r="J79" s="292"/>
      <c r="K79" s="292"/>
      <c r="L79" s="292"/>
      <c r="M79" s="292"/>
      <c r="N79" s="292">
        <f t="shared" si="2"/>
        <v>0.75</v>
      </c>
      <c r="O79" s="296">
        <f t="shared" si="3"/>
        <v>2006.25</v>
      </c>
      <c r="P79" s="297">
        <f ca="1">VLOOKUP(INT(O79),'Exhibit 7.3'!$A$1:$I$128,9)*N79+(1-N79)*VLOOKUP(INT(O79)+1,'Exhibit 7.3'!$A$1:$I$128,9)</f>
        <v>0.31148139366868277</v>
      </c>
      <c r="Q79" s="296"/>
    </row>
    <row r="80" spans="1:17">
      <c r="A80" s="292"/>
      <c r="B80" s="292"/>
      <c r="C80" s="292"/>
      <c r="D80" s="292"/>
      <c r="E80" s="292"/>
      <c r="F80" s="292"/>
      <c r="G80" s="292"/>
      <c r="H80" s="292"/>
      <c r="I80" s="292"/>
      <c r="J80" s="292"/>
      <c r="K80" s="292"/>
      <c r="L80" s="292"/>
      <c r="M80" s="292"/>
      <c r="N80" s="292">
        <f t="shared" si="2"/>
        <v>0.5</v>
      </c>
      <c r="O80" s="296">
        <f t="shared" si="3"/>
        <v>2006.5</v>
      </c>
      <c r="P80" s="297">
        <f ca="1">VLOOKUP(INT(O80),'Exhibit 7.3'!$A$1:$I$128,9)*N80+(1-N80)*VLOOKUP(INT(O80)+1,'Exhibit 7.3'!$A$1:$I$128,9)</f>
        <v>0.3176921409672549</v>
      </c>
      <c r="Q80" s="296"/>
    </row>
    <row r="81" spans="1:17">
      <c r="A81" s="292"/>
      <c r="B81" s="292"/>
      <c r="C81" s="292"/>
      <c r="D81" s="292"/>
      <c r="E81" s="292"/>
      <c r="F81" s="292"/>
      <c r="G81" s="292"/>
      <c r="H81" s="292"/>
      <c r="I81" s="292"/>
      <c r="J81" s="292"/>
      <c r="K81" s="292"/>
      <c r="L81" s="292"/>
      <c r="M81" s="292"/>
      <c r="N81" s="292">
        <f t="shared" si="2"/>
        <v>0.25</v>
      </c>
      <c r="O81" s="296">
        <f t="shared" si="3"/>
        <v>2006.75</v>
      </c>
      <c r="P81" s="297">
        <f ca="1">VLOOKUP(INT(O81),'Exhibit 7.3'!$A$1:$I$128,9)*N81+(1-N81)*VLOOKUP(INT(O81)+1,'Exhibit 7.3'!$A$1:$I$128,9)</f>
        <v>0.32390288826582703</v>
      </c>
      <c r="Q81" s="296"/>
    </row>
    <row r="82" spans="1:17">
      <c r="A82" s="292"/>
      <c r="B82" s="292"/>
      <c r="C82" s="292"/>
      <c r="D82" s="292"/>
      <c r="E82" s="292"/>
      <c r="F82" s="292"/>
      <c r="G82" s="292"/>
      <c r="H82" s="292"/>
      <c r="I82" s="292"/>
      <c r="J82" s="292"/>
      <c r="K82" s="292"/>
      <c r="L82" s="292"/>
      <c r="M82" s="292"/>
      <c r="N82" s="292">
        <f t="shared" si="2"/>
        <v>1</v>
      </c>
      <c r="O82" s="296">
        <f t="shared" si="3"/>
        <v>2007</v>
      </c>
      <c r="P82" s="297">
        <f ca="1">VLOOKUP(INT(O82),'Exhibit 7.3'!$A$1:$I$128,9)*N82+(1-N82)*VLOOKUP(INT(O82)+1,'Exhibit 7.3'!$A$1:$I$128,9)</f>
        <v>0.3301136355643991</v>
      </c>
      <c r="Q82" s="296"/>
    </row>
    <row r="83" spans="1:17">
      <c r="A83" s="292"/>
      <c r="B83" s="292"/>
      <c r="C83" s="292"/>
      <c r="D83" s="292"/>
      <c r="E83" s="292"/>
      <c r="F83" s="292"/>
      <c r="G83" s="292"/>
      <c r="H83" s="292"/>
      <c r="I83" s="292"/>
      <c r="J83" s="292"/>
      <c r="K83" s="292"/>
      <c r="L83" s="292"/>
      <c r="M83" s="292"/>
      <c r="N83" s="292">
        <f t="shared" si="2"/>
        <v>0.75</v>
      </c>
      <c r="O83" s="296">
        <f t="shared" si="3"/>
        <v>2007.25</v>
      </c>
      <c r="P83" s="297">
        <f ca="1">VLOOKUP(INT(O83),'Exhibit 7.3'!$A$1:$I$128,9)*N83+(1-N83)*VLOOKUP(INT(O83)+1,'Exhibit 7.3'!$A$1:$I$128,9)</f>
        <v>0.3325183362295665</v>
      </c>
      <c r="Q83" s="296"/>
    </row>
    <row r="84" spans="1:17">
      <c r="A84" s="292"/>
      <c r="B84" s="292"/>
      <c r="C84" s="292"/>
      <c r="D84" s="292"/>
      <c r="E84" s="292"/>
      <c r="F84" s="292"/>
      <c r="G84" s="292"/>
      <c r="H84" s="292"/>
      <c r="I84" s="292"/>
      <c r="J84" s="292"/>
      <c r="K84" s="292"/>
      <c r="L84" s="292"/>
      <c r="M84" s="292"/>
      <c r="N84" s="292">
        <f t="shared" si="2"/>
        <v>0.5</v>
      </c>
      <c r="O84" s="296">
        <f t="shared" si="3"/>
        <v>2007.5</v>
      </c>
      <c r="P84" s="297">
        <f ca="1">VLOOKUP(INT(O84),'Exhibit 7.3'!$A$1:$I$128,9)*N84+(1-N84)*VLOOKUP(INT(O84)+1,'Exhibit 7.3'!$A$1:$I$128,9)</f>
        <v>0.33492303689473385</v>
      </c>
      <c r="Q84" s="296"/>
    </row>
    <row r="85" spans="1:17">
      <c r="A85" s="292"/>
      <c r="B85" s="292"/>
      <c r="C85" s="292"/>
      <c r="D85" s="292"/>
      <c r="E85" s="292"/>
      <c r="F85" s="292"/>
      <c r="G85" s="292"/>
      <c r="H85" s="292"/>
      <c r="I85" s="292"/>
      <c r="J85" s="292"/>
      <c r="K85" s="292"/>
      <c r="L85" s="292"/>
      <c r="M85" s="292"/>
      <c r="N85" s="292">
        <f t="shared" si="2"/>
        <v>0.25</v>
      </c>
      <c r="O85" s="296">
        <f t="shared" si="3"/>
        <v>2007.75</v>
      </c>
      <c r="P85" s="297">
        <f ca="1">VLOOKUP(INT(O85),'Exhibit 7.3'!$A$1:$I$128,9)*N85+(1-N85)*VLOOKUP(INT(O85)+1,'Exhibit 7.3'!$A$1:$I$128,9)</f>
        <v>0.3373277375599012</v>
      </c>
      <c r="Q85" s="296"/>
    </row>
    <row r="86" spans="1:17">
      <c r="A86" s="292"/>
      <c r="B86" s="292"/>
      <c r="C86" s="292"/>
      <c r="D86" s="292"/>
      <c r="E86" s="292"/>
      <c r="F86" s="292"/>
      <c r="G86" s="292"/>
      <c r="H86" s="292"/>
      <c r="I86" s="292"/>
      <c r="J86" s="292"/>
      <c r="K86" s="292"/>
      <c r="L86" s="292"/>
      <c r="M86" s="292"/>
      <c r="N86" s="292">
        <f t="shared" si="2"/>
        <v>1</v>
      </c>
      <c r="O86" s="296">
        <f t="shared" si="3"/>
        <v>2008</v>
      </c>
      <c r="P86" s="297">
        <f ca="1">VLOOKUP(INT(O86),'Exhibit 7.3'!$A$1:$I$128,9)*N86+(1-N86)*VLOOKUP(INT(O86)+1,'Exhibit 7.3'!$A$1:$I$128,9)</f>
        <v>0.3397324382250686</v>
      </c>
      <c r="Q86" s="296"/>
    </row>
    <row r="87" spans="1:17">
      <c r="A87" s="292"/>
      <c r="B87" s="292"/>
      <c r="C87" s="292"/>
      <c r="D87" s="292"/>
      <c r="E87" s="292"/>
      <c r="F87" s="292"/>
      <c r="G87" s="292"/>
      <c r="H87" s="292"/>
      <c r="I87" s="292"/>
      <c r="J87" s="292"/>
      <c r="K87" s="292"/>
      <c r="L87" s="292"/>
      <c r="M87" s="292"/>
      <c r="N87" s="292">
        <f t="shared" si="2"/>
        <v>0.75</v>
      </c>
      <c r="O87" s="296">
        <f t="shared" si="3"/>
        <v>2008.25</v>
      </c>
      <c r="P87" s="297">
        <f ca="1">VLOOKUP(INT(O87),'Exhibit 7.3'!$A$1:$I$128,9)*N87+(1-N87)*VLOOKUP(INT(O87)+1,'Exhibit 7.3'!$A$1:$I$128,9)</f>
        <v>0.34632391250273964</v>
      </c>
      <c r="Q87" s="296"/>
    </row>
    <row r="88" spans="1:17">
      <c r="A88" s="292"/>
      <c r="B88" s="292"/>
      <c r="C88" s="292"/>
      <c r="D88" s="292"/>
      <c r="E88" s="292"/>
      <c r="F88" s="292"/>
      <c r="G88" s="292"/>
      <c r="H88" s="292"/>
      <c r="I88" s="292"/>
      <c r="J88" s="292"/>
      <c r="K88" s="292"/>
      <c r="L88" s="292"/>
      <c r="M88" s="292"/>
      <c r="N88" s="292">
        <f t="shared" si="2"/>
        <v>0.5</v>
      </c>
      <c r="O88" s="296">
        <f t="shared" si="3"/>
        <v>2008.5</v>
      </c>
      <c r="P88" s="297">
        <f ca="1">VLOOKUP(INT(O88),'Exhibit 7.3'!$A$1:$I$128,9)*N88+(1-N88)*VLOOKUP(INT(O88)+1,'Exhibit 7.3'!$A$1:$I$128,9)</f>
        <v>0.35291538678041068</v>
      </c>
      <c r="Q88" s="296"/>
    </row>
    <row r="89" spans="1:17">
      <c r="A89" s="292"/>
      <c r="B89" s="292"/>
      <c r="C89" s="292"/>
      <c r="D89" s="292"/>
      <c r="E89" s="292"/>
      <c r="F89" s="292"/>
      <c r="G89" s="292"/>
      <c r="H89" s="292"/>
      <c r="I89" s="292"/>
      <c r="J89" s="292"/>
      <c r="K89" s="292"/>
      <c r="L89" s="292"/>
      <c r="M89" s="292"/>
      <c r="N89" s="292">
        <f t="shared" si="2"/>
        <v>0.25</v>
      </c>
      <c r="O89" s="296">
        <f t="shared" si="3"/>
        <v>2008.75</v>
      </c>
      <c r="P89" s="297">
        <f ca="1">VLOOKUP(INT(O89),'Exhibit 7.3'!$A$1:$I$128,9)*N89+(1-N89)*VLOOKUP(INT(O89)+1,'Exhibit 7.3'!$A$1:$I$128,9)</f>
        <v>0.35950686105808172</v>
      </c>
      <c r="Q89" s="296"/>
    </row>
    <row r="90" spans="1:17">
      <c r="A90" s="292"/>
      <c r="B90" s="292"/>
      <c r="C90" s="292"/>
      <c r="D90" s="292"/>
      <c r="E90" s="292"/>
      <c r="F90" s="292"/>
      <c r="G90" s="292"/>
      <c r="H90" s="292"/>
      <c r="I90" s="292"/>
      <c r="J90" s="292"/>
      <c r="K90" s="292"/>
      <c r="L90" s="292"/>
      <c r="M90" s="292"/>
      <c r="N90" s="292">
        <f t="shared" si="2"/>
        <v>1</v>
      </c>
      <c r="O90" s="296">
        <f t="shared" si="3"/>
        <v>2009</v>
      </c>
      <c r="P90" s="297">
        <f ca="1">VLOOKUP(INT(O90),'Exhibit 7.3'!$A$1:$I$128,9)*N90+(1-N90)*VLOOKUP(INT(O90)+1,'Exhibit 7.3'!$A$1:$I$128,9)</f>
        <v>0.36609833533575276</v>
      </c>
      <c r="Q90" s="296"/>
    </row>
    <row r="91" spans="1:17">
      <c r="A91" s="292"/>
      <c r="B91" s="292"/>
      <c r="C91" s="292"/>
      <c r="D91" s="292"/>
      <c r="E91" s="292"/>
      <c r="F91" s="292"/>
      <c r="G91" s="292"/>
      <c r="H91" s="292"/>
      <c r="I91" s="292"/>
      <c r="J91" s="292"/>
      <c r="K91" s="292"/>
      <c r="L91" s="292"/>
      <c r="M91" s="292"/>
      <c r="N91" s="292">
        <f t="shared" si="2"/>
        <v>0.75</v>
      </c>
      <c r="O91" s="296">
        <f t="shared" si="3"/>
        <v>2009.25</v>
      </c>
      <c r="P91" s="297">
        <f ca="1">VLOOKUP(INT(O91),'Exhibit 7.3'!$A$1:$I$128,9)*N91+(1-N91)*VLOOKUP(INT(O91)+1,'Exhibit 7.3'!$A$1:$I$128,9)</f>
        <v>0.37364353018261692</v>
      </c>
      <c r="Q91" s="296"/>
    </row>
    <row r="92" spans="1:17">
      <c r="A92" s="292"/>
      <c r="B92" s="292"/>
      <c r="C92" s="292"/>
      <c r="D92" s="292"/>
      <c r="E92" s="292"/>
      <c r="F92" s="292"/>
      <c r="G92" s="292"/>
      <c r="H92" s="292"/>
      <c r="I92" s="292"/>
      <c r="J92" s="292"/>
      <c r="K92" s="292"/>
      <c r="L92" s="292"/>
      <c r="M92" s="292"/>
      <c r="N92" s="292">
        <f t="shared" si="2"/>
        <v>0.5</v>
      </c>
      <c r="O92" s="296">
        <f t="shared" si="3"/>
        <v>2009.5</v>
      </c>
      <c r="P92" s="297">
        <f ca="1">VLOOKUP(INT(O92),'Exhibit 7.3'!$A$1:$I$128,9)*N92+(1-N92)*VLOOKUP(INT(O92)+1,'Exhibit 7.3'!$A$1:$I$128,9)</f>
        <v>0.38118872502948109</v>
      </c>
      <c r="Q92" s="296"/>
    </row>
    <row r="93" spans="1:17">
      <c r="A93" s="292"/>
      <c r="B93" s="292"/>
      <c r="C93" s="292"/>
      <c r="D93" s="292"/>
      <c r="E93" s="292"/>
      <c r="F93" s="292"/>
      <c r="G93" s="292"/>
      <c r="H93" s="292"/>
      <c r="I93" s="292"/>
      <c r="J93" s="292"/>
      <c r="K93" s="292"/>
      <c r="L93" s="292"/>
      <c r="M93" s="292"/>
      <c r="N93" s="292">
        <f t="shared" si="2"/>
        <v>0.25</v>
      </c>
      <c r="O93" s="296">
        <f t="shared" si="3"/>
        <v>2009.75</v>
      </c>
      <c r="P93" s="297">
        <f ca="1">VLOOKUP(INT(O93),'Exhibit 7.3'!$A$1:$I$128,9)*N93+(1-N93)*VLOOKUP(INT(O93)+1,'Exhibit 7.3'!$A$1:$I$128,9)</f>
        <v>0.3887339198763452</v>
      </c>
      <c r="Q93" s="296"/>
    </row>
    <row r="94" spans="1:17">
      <c r="A94" s="292"/>
      <c r="B94" s="292"/>
      <c r="C94" s="292"/>
      <c r="D94" s="292"/>
      <c r="E94" s="292"/>
      <c r="F94" s="292"/>
      <c r="G94" s="292"/>
      <c r="H94" s="292"/>
      <c r="I94" s="292"/>
      <c r="J94" s="292"/>
      <c r="K94" s="292"/>
      <c r="L94" s="292"/>
      <c r="M94" s="292"/>
      <c r="N94" s="292">
        <f t="shared" si="2"/>
        <v>1</v>
      </c>
      <c r="O94" s="296">
        <f t="shared" si="3"/>
        <v>2010</v>
      </c>
      <c r="P94" s="297">
        <f ca="1">VLOOKUP(INT(O94),'Exhibit 7.3'!$A$1:$I$128,9)*N94+(1-N94)*VLOOKUP(INT(O94)+1,'Exhibit 7.3'!$A$1:$I$128,9)</f>
        <v>0.39627911472320937</v>
      </c>
      <c r="Q94" s="296"/>
    </row>
    <row r="95" spans="1:17">
      <c r="A95" s="292"/>
      <c r="B95" s="292"/>
      <c r="C95" s="292"/>
      <c r="D95" s="292"/>
      <c r="E95" s="292"/>
      <c r="F95" s="292"/>
      <c r="G95" s="292"/>
      <c r="H95" s="292"/>
      <c r="I95" s="292"/>
      <c r="J95" s="292"/>
      <c r="K95" s="292"/>
      <c r="L95" s="292"/>
      <c r="M95" s="292"/>
      <c r="N95" s="292">
        <f t="shared" si="2"/>
        <v>1</v>
      </c>
      <c r="O95" s="296"/>
      <c r="P95" s="297"/>
      <c r="Q95" s="296"/>
    </row>
    <row r="96" spans="1:17">
      <c r="A96" s="292"/>
      <c r="B96" s="292"/>
      <c r="C96" s="292"/>
      <c r="D96" s="292"/>
      <c r="E96" s="292"/>
      <c r="F96" s="292"/>
      <c r="G96" s="292"/>
      <c r="H96" s="292"/>
      <c r="I96" s="292"/>
      <c r="J96" s="292"/>
      <c r="K96" s="292"/>
      <c r="L96" s="292"/>
      <c r="M96" s="292"/>
      <c r="N96" s="292">
        <f t="shared" si="2"/>
        <v>1</v>
      </c>
      <c r="O96" s="296"/>
      <c r="P96" s="297"/>
      <c r="Q96" s="296"/>
    </row>
    <row r="97" spans="1:17">
      <c r="A97" s="292"/>
      <c r="B97" s="292"/>
      <c r="C97" s="292"/>
      <c r="D97" s="292"/>
      <c r="E97" s="292"/>
      <c r="F97" s="292"/>
      <c r="G97" s="292"/>
      <c r="H97" s="292"/>
      <c r="I97" s="292"/>
      <c r="J97" s="292"/>
      <c r="K97" s="292"/>
      <c r="L97" s="292"/>
      <c r="M97" s="292"/>
      <c r="N97" s="292">
        <f t="shared" si="2"/>
        <v>1</v>
      </c>
      <c r="O97" s="296"/>
      <c r="P97" s="297"/>
      <c r="Q97" s="296"/>
    </row>
    <row r="98" spans="1:17">
      <c r="A98" s="292"/>
      <c r="B98" s="292"/>
      <c r="C98" s="292"/>
      <c r="D98" s="292"/>
      <c r="E98" s="292"/>
      <c r="F98" s="292"/>
      <c r="G98" s="292"/>
      <c r="H98" s="292"/>
      <c r="I98" s="292"/>
      <c r="J98" s="292"/>
      <c r="K98" s="292"/>
      <c r="L98" s="292"/>
      <c r="M98" s="292"/>
      <c r="N98" s="292">
        <f t="shared" si="2"/>
        <v>1</v>
      </c>
      <c r="O98" s="296">
        <v>2011</v>
      </c>
      <c r="P98" s="297">
        <f ca="1">VLOOKUP(INT(O98),'Exhibit 7.3'!$A$1:$I$128,9)*N98+(1-N98)*VLOOKUP(INT(O98)+1,'Exhibit 7.3'!$A$1:$I$128,9)</f>
        <v>0.38120461367159064</v>
      </c>
      <c r="Q98" s="296"/>
    </row>
    <row r="99" spans="1:17">
      <c r="A99" s="292"/>
      <c r="B99" s="292"/>
      <c r="C99" s="292"/>
      <c r="D99" s="292"/>
      <c r="E99" s="292"/>
      <c r="F99" s="292"/>
      <c r="G99" s="292"/>
      <c r="H99" s="292"/>
      <c r="I99" s="292"/>
      <c r="J99" s="292"/>
      <c r="K99" s="292"/>
      <c r="L99" s="292"/>
      <c r="M99" s="292"/>
      <c r="N99" s="292">
        <f t="shared" si="2"/>
        <v>0.75</v>
      </c>
      <c r="O99" s="296">
        <f t="shared" ref="O99:O152" si="4">+O98+0.25</f>
        <v>2011.25</v>
      </c>
      <c r="P99" s="297">
        <f ca="1">VLOOKUP(INT(O99),'Exhibit 7.3'!$A$1:$I$128,9)*N99+(1-N99)*VLOOKUP(INT(O99)+1,'Exhibit 7.3'!$A$1:$I$128,9)</f>
        <v>0.38283490426779793</v>
      </c>
      <c r="Q99" s="296"/>
    </row>
    <row r="100" spans="1:17">
      <c r="A100" s="292"/>
      <c r="B100" s="292"/>
      <c r="C100" s="292"/>
      <c r="D100" s="292"/>
      <c r="E100" s="292"/>
      <c r="F100" s="292"/>
      <c r="G100" s="292"/>
      <c r="H100" s="292"/>
      <c r="I100" s="292"/>
      <c r="J100" s="292"/>
      <c r="K100" s="292"/>
      <c r="L100" s="292"/>
      <c r="M100" s="292"/>
      <c r="N100" s="292">
        <f t="shared" si="2"/>
        <v>0.5</v>
      </c>
      <c r="O100" s="296">
        <f t="shared" si="4"/>
        <v>2011.5</v>
      </c>
      <c r="P100" s="297">
        <f ca="1">VLOOKUP(INT(O100),'Exhibit 7.3'!$A$1:$I$128,9)*N100+(1-N100)*VLOOKUP(INT(O100)+1,'Exhibit 7.3'!$A$1:$I$128,9)</f>
        <v>0.38446519486400532</v>
      </c>
      <c r="Q100" s="296"/>
    </row>
    <row r="101" spans="1:17">
      <c r="A101" s="292"/>
      <c r="B101" s="292"/>
      <c r="C101" s="292"/>
      <c r="D101" s="292"/>
      <c r="E101" s="292"/>
      <c r="F101" s="292"/>
      <c r="G101" s="292"/>
      <c r="H101" s="292"/>
      <c r="I101" s="292"/>
      <c r="J101" s="292"/>
      <c r="K101" s="292"/>
      <c r="L101" s="292"/>
      <c r="M101" s="292"/>
      <c r="N101" s="292">
        <f t="shared" si="2"/>
        <v>0.25</v>
      </c>
      <c r="O101" s="296">
        <f t="shared" si="4"/>
        <v>2011.75</v>
      </c>
      <c r="P101" s="297">
        <f ca="1">VLOOKUP(INT(O101),'Exhibit 7.3'!$A$1:$I$128,9)*N101+(1-N101)*VLOOKUP(INT(O101)+1,'Exhibit 7.3'!$A$1:$I$128,9)</f>
        <v>0.38609548546021266</v>
      </c>
      <c r="Q101" s="296"/>
    </row>
    <row r="102" spans="1:17" s="105" customFormat="1">
      <c r="A102" s="292"/>
      <c r="B102" s="292"/>
      <c r="C102" s="292"/>
      <c r="D102" s="292"/>
      <c r="E102" s="292"/>
      <c r="F102" s="292"/>
      <c r="G102" s="292"/>
      <c r="H102" s="292"/>
      <c r="I102" s="292"/>
      <c r="J102" s="292"/>
      <c r="K102" s="292"/>
      <c r="L102" s="292"/>
      <c r="M102" s="292"/>
      <c r="N102" s="292">
        <f t="shared" si="2"/>
        <v>1</v>
      </c>
      <c r="O102" s="296">
        <f t="shared" si="4"/>
        <v>2012</v>
      </c>
      <c r="P102" s="297">
        <f ca="1">VLOOKUP(INT(O102),'Exhibit 7.3'!$A$1:$I$128,9)*N102+(1-N102)*VLOOKUP(INT(O102)+1,'Exhibit 7.3'!$A$1:$I$128,9)</f>
        <v>0.38772577605641995</v>
      </c>
      <c r="Q102" s="296"/>
    </row>
    <row r="103" spans="1:17" s="105" customFormat="1">
      <c r="A103" s="292"/>
      <c r="B103" s="292"/>
      <c r="C103" s="292"/>
      <c r="D103" s="292"/>
      <c r="E103" s="292"/>
      <c r="F103" s="292"/>
      <c r="G103" s="292"/>
      <c r="H103" s="292"/>
      <c r="I103" s="292"/>
      <c r="J103" s="292"/>
      <c r="K103" s="292"/>
      <c r="L103" s="292"/>
      <c r="M103" s="292"/>
      <c r="N103" s="292">
        <f t="shared" si="2"/>
        <v>0.75</v>
      </c>
      <c r="O103" s="296">
        <f t="shared" si="4"/>
        <v>2012.25</v>
      </c>
      <c r="P103" s="297">
        <f ca="1">VLOOKUP(INT(O103),'Exhibit 7.3'!$A$1:$I$128,9)*N103+(1-N103)*VLOOKUP(INT(O103)+1,'Exhibit 7.3'!$A$1:$I$128,9)</f>
        <v>0.38826634125971593</v>
      </c>
      <c r="Q103" s="296"/>
    </row>
    <row r="104" spans="1:17" s="105" customFormat="1">
      <c r="A104" s="292"/>
      <c r="B104" s="292"/>
      <c r="C104" s="292"/>
      <c r="D104" s="292"/>
      <c r="E104" s="292"/>
      <c r="F104" s="292"/>
      <c r="G104" s="292"/>
      <c r="H104" s="292"/>
      <c r="I104" s="292"/>
      <c r="J104" s="292"/>
      <c r="K104" s="292"/>
      <c r="L104" s="292"/>
      <c r="M104" s="292"/>
      <c r="N104" s="292">
        <f t="shared" si="2"/>
        <v>0.5</v>
      </c>
      <c r="O104" s="296">
        <f t="shared" si="4"/>
        <v>2012.5</v>
      </c>
      <c r="P104" s="297">
        <f ca="1">VLOOKUP(INT(O104),'Exhibit 7.3'!$A$1:$I$128,9)*N104+(1-N104)*VLOOKUP(INT(O104)+1,'Exhibit 7.3'!$A$1:$I$128,9)</f>
        <v>0.38880690646301186</v>
      </c>
      <c r="Q104" s="296"/>
    </row>
    <row r="105" spans="1:17" s="105" customFormat="1">
      <c r="A105" s="292"/>
      <c r="B105" s="292"/>
      <c r="C105" s="292"/>
      <c r="D105" s="292"/>
      <c r="E105" s="292"/>
      <c r="F105" s="292"/>
      <c r="G105" s="292"/>
      <c r="H105" s="292"/>
      <c r="I105" s="292"/>
      <c r="J105" s="292"/>
      <c r="K105" s="292"/>
      <c r="L105" s="292"/>
      <c r="M105" s="292"/>
      <c r="N105" s="292">
        <f t="shared" si="2"/>
        <v>0.25</v>
      </c>
      <c r="O105" s="296">
        <f t="shared" si="4"/>
        <v>2012.75</v>
      </c>
      <c r="P105" s="297">
        <f ca="1">VLOOKUP(INT(O105),'Exhibit 7.3'!$A$1:$I$128,9)*N105+(1-N105)*VLOOKUP(INT(O105)+1,'Exhibit 7.3'!$A$1:$I$128,9)</f>
        <v>0.38934747166630784</v>
      </c>
      <c r="Q105" s="296"/>
    </row>
    <row r="106" spans="1:17" s="105" customFormat="1">
      <c r="A106" s="292"/>
      <c r="B106" s="292"/>
      <c r="C106" s="292"/>
      <c r="D106" s="292"/>
      <c r="E106" s="292"/>
      <c r="F106" s="292"/>
      <c r="G106" s="292"/>
      <c r="H106" s="292"/>
      <c r="I106" s="292"/>
      <c r="J106" s="292"/>
      <c r="K106" s="292"/>
      <c r="L106" s="292"/>
      <c r="M106" s="292"/>
      <c r="N106" s="292">
        <f t="shared" si="2"/>
        <v>1</v>
      </c>
      <c r="O106" s="296">
        <f t="shared" si="4"/>
        <v>2013</v>
      </c>
      <c r="P106" s="297">
        <f ca="1">VLOOKUP(INT(O106),'Exhibit 7.3'!$A$1:$I$128,9)*N106+(1-N106)*VLOOKUP(INT(O106)+1,'Exhibit 7.3'!$A$1:$I$128,9)</f>
        <v>0.38988803686960383</v>
      </c>
      <c r="Q106" s="296"/>
    </row>
    <row r="107" spans="1:17" s="105" customFormat="1">
      <c r="A107" s="292"/>
      <c r="B107" s="292"/>
      <c r="C107" s="292"/>
      <c r="D107" s="292"/>
      <c r="E107" s="292"/>
      <c r="F107" s="292"/>
      <c r="G107" s="292"/>
      <c r="H107" s="292"/>
      <c r="I107" s="292"/>
      <c r="J107" s="292"/>
      <c r="K107" s="292"/>
      <c r="L107" s="292"/>
      <c r="M107" s="292"/>
      <c r="N107" s="292">
        <f t="shared" si="2"/>
        <v>0.75</v>
      </c>
      <c r="O107" s="296">
        <f t="shared" si="4"/>
        <v>2013.25</v>
      </c>
      <c r="P107" s="297">
        <f ca="1">VLOOKUP(INT(O107),'Exhibit 7.3'!$A$1:$I$128,9)*N107+(1-N107)*VLOOKUP(INT(O107)+1,'Exhibit 7.3'!$A$1:$I$128,9)</f>
        <v>0.39332930053188775</v>
      </c>
      <c r="Q107" s="296"/>
    </row>
    <row r="108" spans="1:17" s="105" customFormat="1">
      <c r="A108" s="292"/>
      <c r="B108" s="292"/>
      <c r="C108" s="292"/>
      <c r="D108" s="292"/>
      <c r="E108" s="292"/>
      <c r="F108" s="292"/>
      <c r="G108" s="292"/>
      <c r="H108" s="292"/>
      <c r="I108" s="292"/>
      <c r="J108" s="292"/>
      <c r="K108" s="292"/>
      <c r="L108" s="292"/>
      <c r="M108" s="292"/>
      <c r="N108" s="292">
        <f t="shared" si="2"/>
        <v>0.5</v>
      </c>
      <c r="O108" s="296">
        <f t="shared" si="4"/>
        <v>2013.5</v>
      </c>
      <c r="P108" s="297">
        <f ca="1">VLOOKUP(INT(O108),'Exhibit 7.3'!$A$1:$I$128,9)*N108+(1-N108)*VLOOKUP(INT(O108)+1,'Exhibit 7.3'!$A$1:$I$128,9)</f>
        <v>0.39677056419417167</v>
      </c>
      <c r="Q108" s="296"/>
    </row>
    <row r="109" spans="1:17" s="105" customFormat="1">
      <c r="A109" s="292"/>
      <c r="B109" s="292"/>
      <c r="C109" s="292"/>
      <c r="D109" s="292"/>
      <c r="E109" s="292"/>
      <c r="F109" s="292"/>
      <c r="G109" s="292"/>
      <c r="H109" s="292"/>
      <c r="I109" s="292"/>
      <c r="J109" s="292"/>
      <c r="K109" s="292"/>
      <c r="L109" s="292"/>
      <c r="M109" s="292"/>
      <c r="N109" s="292">
        <f t="shared" si="2"/>
        <v>0.25</v>
      </c>
      <c r="O109" s="296">
        <f t="shared" si="4"/>
        <v>2013.75</v>
      </c>
      <c r="P109" s="297">
        <f ca="1">VLOOKUP(INT(O109),'Exhibit 7.3'!$A$1:$I$128,9)*N109+(1-N109)*VLOOKUP(INT(O109)+1,'Exhibit 7.3'!$A$1:$I$128,9)</f>
        <v>0.40021182785645565</v>
      </c>
      <c r="Q109" s="296"/>
    </row>
    <row r="110" spans="1:17" s="105" customFormat="1">
      <c r="A110" s="292"/>
      <c r="B110" s="292"/>
      <c r="C110" s="292"/>
      <c r="D110" s="292"/>
      <c r="E110" s="292"/>
      <c r="F110" s="292"/>
      <c r="G110" s="292"/>
      <c r="H110" s="292"/>
      <c r="I110" s="292"/>
      <c r="J110" s="292"/>
      <c r="K110" s="292"/>
      <c r="L110" s="292"/>
      <c r="M110" s="292"/>
      <c r="N110" s="292">
        <f t="shared" si="2"/>
        <v>1</v>
      </c>
      <c r="O110" s="296">
        <f t="shared" si="4"/>
        <v>2014</v>
      </c>
      <c r="P110" s="297">
        <f ca="1">VLOOKUP(INT(O110),'Exhibit 7.3'!$A$1:$I$128,9)*N110+(1-N110)*VLOOKUP(INT(O110)+1,'Exhibit 7.3'!$A$1:$I$128,9)</f>
        <v>0.40365309151873957</v>
      </c>
      <c r="Q110" s="296"/>
    </row>
    <row r="111" spans="1:17" s="105" customFormat="1">
      <c r="A111" s="292"/>
      <c r="B111" s="292"/>
      <c r="C111" s="292"/>
      <c r="D111" s="292"/>
      <c r="E111" s="292"/>
      <c r="F111" s="292"/>
      <c r="G111" s="292"/>
      <c r="H111" s="292"/>
      <c r="I111" s="292"/>
      <c r="J111" s="292"/>
      <c r="K111" s="292"/>
      <c r="L111" s="292"/>
      <c r="M111" s="292"/>
      <c r="N111" s="292">
        <f t="shared" si="2"/>
        <v>0.75</v>
      </c>
      <c r="O111" s="296">
        <f t="shared" si="4"/>
        <v>2014.25</v>
      </c>
      <c r="P111" s="297">
        <f ca="1">VLOOKUP(INT(O111),'Exhibit 7.3'!$A$1:$I$128,9)*N111+(1-N111)*VLOOKUP(INT(O111)+1,'Exhibit 7.3'!$A$1:$I$128,9)</f>
        <v>0.40534316940282022</v>
      </c>
      <c r="Q111" s="296"/>
    </row>
    <row r="112" spans="1:17" s="105" customFormat="1">
      <c r="A112" s="292"/>
      <c r="B112" s="292"/>
      <c r="C112" s="292"/>
      <c r="D112" s="292"/>
      <c r="E112" s="292"/>
      <c r="F112" s="292"/>
      <c r="G112" s="292"/>
      <c r="H112" s="292"/>
      <c r="I112" s="292"/>
      <c r="J112" s="292"/>
      <c r="K112" s="292"/>
      <c r="L112" s="292"/>
      <c r="M112" s="292"/>
      <c r="N112" s="292">
        <f t="shared" si="2"/>
        <v>0.5</v>
      </c>
      <c r="O112" s="296">
        <f t="shared" si="4"/>
        <v>2014.5</v>
      </c>
      <c r="P112" s="297">
        <f ca="1">VLOOKUP(INT(O112),'Exhibit 7.3'!$A$1:$I$128,9)*N112+(1-N112)*VLOOKUP(INT(O112)+1,'Exhibit 7.3'!$A$1:$I$128,9)</f>
        <v>0.40703324728690093</v>
      </c>
      <c r="Q112" s="297"/>
    </row>
    <row r="113" spans="1:17">
      <c r="A113" s="292"/>
      <c r="B113" s="292"/>
      <c r="C113" s="292"/>
      <c r="D113" s="292"/>
      <c r="E113" s="292"/>
      <c r="F113" s="292"/>
      <c r="G113" s="292"/>
      <c r="H113" s="292"/>
      <c r="I113" s="292"/>
      <c r="J113" s="292"/>
      <c r="K113" s="292"/>
      <c r="L113" s="292"/>
      <c r="M113" s="292"/>
      <c r="N113" s="292">
        <f t="shared" si="2"/>
        <v>0.25</v>
      </c>
      <c r="O113" s="296">
        <f t="shared" si="4"/>
        <v>2014.75</v>
      </c>
      <c r="P113" s="297">
        <f ca="1">VLOOKUP(INT(O113),'Exhibit 7.3'!$A$1:$I$128,9)*N113+(1-N113)*VLOOKUP(INT(O113)+1,'Exhibit 7.3'!$A$1:$I$128,9)</f>
        <v>0.40872332517098153</v>
      </c>
      <c r="Q113" s="106"/>
    </row>
    <row r="114" spans="1:17">
      <c r="A114" s="292"/>
      <c r="B114" s="292"/>
      <c r="C114" s="292"/>
      <c r="D114" s="292"/>
      <c r="E114" s="292"/>
      <c r="F114" s="292"/>
      <c r="G114" s="292"/>
      <c r="H114" s="292"/>
      <c r="I114" s="292"/>
      <c r="J114" s="292"/>
      <c r="K114" s="292"/>
      <c r="L114" s="292"/>
      <c r="M114" s="292"/>
      <c r="N114" s="292">
        <f t="shared" si="2"/>
        <v>1</v>
      </c>
      <c r="O114" s="296">
        <f t="shared" si="4"/>
        <v>2015</v>
      </c>
      <c r="P114" s="297">
        <f ca="1">VLOOKUP(INT(O114),'Exhibit 7.3'!$A$1:$I$128,9)*N114+(1-N114)*VLOOKUP(INT(O114)+1,'Exhibit 7.3'!$A$1:$I$128,9)</f>
        <v>0.41041340305506224</v>
      </c>
      <c r="Q114" s="106"/>
    </row>
    <row r="115" spans="1:17">
      <c r="A115" s="292"/>
      <c r="B115" s="292"/>
      <c r="C115" s="292"/>
      <c r="D115" s="292"/>
      <c r="E115" s="292"/>
      <c r="F115" s="292"/>
      <c r="G115" s="292"/>
      <c r="H115" s="292"/>
      <c r="I115" s="292"/>
      <c r="J115" s="292"/>
      <c r="K115" s="292"/>
      <c r="L115" s="292"/>
      <c r="M115" s="292"/>
      <c r="N115" s="292">
        <f t="shared" si="2"/>
        <v>0.75</v>
      </c>
      <c r="O115" s="296">
        <f t="shared" si="4"/>
        <v>2015.25</v>
      </c>
      <c r="P115" s="297">
        <f ca="1">VLOOKUP(INT(O115),'Exhibit 7.3'!$A$1:$I$128,9)*N115+(1-N115)*VLOOKUP(INT(O115)+1,'Exhibit 7.3'!$A$1:$I$128,9)</f>
        <v>0.40290618961300084</v>
      </c>
      <c r="Q115" s="106"/>
    </row>
    <row r="116" spans="1:17">
      <c r="A116" s="292"/>
      <c r="B116" s="292"/>
      <c r="C116" s="292"/>
      <c r="D116" s="292"/>
      <c r="E116" s="292"/>
      <c r="F116" s="292"/>
      <c r="G116" s="292"/>
      <c r="H116" s="292"/>
      <c r="I116" s="292"/>
      <c r="J116" s="292"/>
      <c r="K116" s="292"/>
      <c r="L116" s="292"/>
      <c r="M116" s="292"/>
      <c r="N116" s="292">
        <f t="shared" si="2"/>
        <v>0.5</v>
      </c>
      <c r="O116" s="296">
        <f t="shared" si="4"/>
        <v>2015.5</v>
      </c>
      <c r="P116" s="297">
        <f ca="1">VLOOKUP(INT(O116),'Exhibit 7.3'!$A$1:$I$128,9)*N116+(1-N116)*VLOOKUP(INT(O116)+1,'Exhibit 7.3'!$A$1:$I$128,9)</f>
        <v>0.39539897617093944</v>
      </c>
      <c r="Q116" s="297"/>
    </row>
    <row r="117" spans="1:17">
      <c r="A117" s="292"/>
      <c r="B117" s="292"/>
      <c r="C117" s="292"/>
      <c r="D117" s="292"/>
      <c r="E117" s="292"/>
      <c r="F117" s="292"/>
      <c r="G117" s="292"/>
      <c r="H117" s="292"/>
      <c r="I117" s="292"/>
      <c r="J117" s="292"/>
      <c r="K117" s="292"/>
      <c r="L117" s="292"/>
      <c r="M117" s="292"/>
      <c r="N117" s="292">
        <f t="shared" si="2"/>
        <v>0.25</v>
      </c>
      <c r="O117" s="296">
        <f t="shared" si="4"/>
        <v>2015.75</v>
      </c>
      <c r="P117" s="297">
        <f ca="1">VLOOKUP(INT(O117),'Exhibit 7.3'!$A$1:$I$128,9)*N117+(1-N117)*VLOOKUP(INT(O117)+1,'Exhibit 7.3'!$A$1:$I$128,9)</f>
        <v>0.38789176272887804</v>
      </c>
      <c r="Q117" s="106"/>
    </row>
    <row r="118" spans="1:17">
      <c r="A118" s="292"/>
      <c r="B118" s="292"/>
      <c r="C118" s="292"/>
      <c r="D118" s="292"/>
      <c r="E118" s="292"/>
      <c r="F118" s="292"/>
      <c r="G118" s="292"/>
      <c r="H118" s="292"/>
      <c r="I118" s="292"/>
      <c r="J118" s="292"/>
      <c r="K118" s="292"/>
      <c r="L118" s="292"/>
      <c r="M118" s="292"/>
      <c r="N118" s="292">
        <f t="shared" si="2"/>
        <v>1</v>
      </c>
      <c r="O118" s="296">
        <f t="shared" si="4"/>
        <v>2016</v>
      </c>
      <c r="P118" s="297">
        <f ca="1">VLOOKUP(INT(O118),'Exhibit 7.3'!$A$1:$I$128,9)*N118+(1-N118)*VLOOKUP(INT(O118)+1,'Exhibit 7.3'!$A$1:$I$128,9)</f>
        <v>0.3803845492868167</v>
      </c>
      <c r="Q118" s="106"/>
    </row>
    <row r="119" spans="1:17">
      <c r="A119" s="292"/>
      <c r="B119" s="292"/>
      <c r="C119" s="292"/>
      <c r="D119" s="292"/>
      <c r="E119" s="292"/>
      <c r="F119" s="292"/>
      <c r="G119" s="292"/>
      <c r="H119" s="292"/>
      <c r="I119" s="292"/>
      <c r="J119" s="292"/>
      <c r="K119" s="292"/>
      <c r="L119" s="292"/>
      <c r="M119" s="292"/>
      <c r="N119" s="292">
        <f t="shared" si="2"/>
        <v>0.75</v>
      </c>
      <c r="O119" s="296">
        <f t="shared" si="4"/>
        <v>2016.25</v>
      </c>
      <c r="P119" s="297">
        <f ca="1">VLOOKUP(INT(O119),'Exhibit 7.3'!$A$1:$I$128,9)*N119+(1-N119)*VLOOKUP(INT(O119)+1,'Exhibit 7.3'!$A$1:$I$128,9)</f>
        <v>0.37850110312245688</v>
      </c>
      <c r="Q119" s="106"/>
    </row>
    <row r="120" spans="1:17">
      <c r="A120" s="292"/>
      <c r="B120" s="292"/>
      <c r="C120" s="292"/>
      <c r="D120" s="292"/>
      <c r="E120" s="292"/>
      <c r="F120" s="292"/>
      <c r="G120" s="292"/>
      <c r="H120" s="292"/>
      <c r="I120" s="292"/>
      <c r="J120" s="292"/>
      <c r="K120" s="292"/>
      <c r="L120" s="292"/>
      <c r="M120" s="292"/>
      <c r="N120" s="292">
        <f t="shared" ref="N120:N126" si="5">INT(O120)-O120+1</f>
        <v>0.5</v>
      </c>
      <c r="O120" s="296">
        <f t="shared" si="4"/>
        <v>2016.5</v>
      </c>
      <c r="P120" s="297">
        <f ca="1">VLOOKUP(INT(O120),'Exhibit 7.3'!$A$1:$I$128,9)*N120+(1-N120)*VLOOKUP(INT(O120)+1,'Exhibit 7.3'!$A$1:$I$128,9)</f>
        <v>0.37661765695809712</v>
      </c>
      <c r="Q120" s="297"/>
    </row>
    <row r="121" spans="1:17">
      <c r="A121" s="292"/>
      <c r="B121" s="292"/>
      <c r="C121" s="292"/>
      <c r="D121" s="292"/>
      <c r="E121" s="292"/>
      <c r="F121" s="292"/>
      <c r="G121" s="292"/>
      <c r="H121" s="292"/>
      <c r="I121" s="292"/>
      <c r="J121" s="292"/>
      <c r="K121" s="292"/>
      <c r="L121" s="292"/>
      <c r="M121" s="292"/>
      <c r="N121" s="292">
        <f t="shared" si="5"/>
        <v>0.25</v>
      </c>
      <c r="O121" s="296">
        <f t="shared" si="4"/>
        <v>2016.75</v>
      </c>
      <c r="P121" s="297">
        <f ca="1">VLOOKUP(INT(O121),'Exhibit 7.3'!$A$1:$I$128,9)*N121+(1-N121)*VLOOKUP(INT(O121)+1,'Exhibit 7.3'!$A$1:$I$128,9)</f>
        <v>0.37473421079373731</v>
      </c>
      <c r="Q121" s="297"/>
    </row>
    <row r="122" spans="1:17">
      <c r="A122" s="292"/>
      <c r="B122" s="292"/>
      <c r="C122" s="292"/>
      <c r="D122" s="292"/>
      <c r="E122" s="292"/>
      <c r="F122" s="292"/>
      <c r="G122" s="292"/>
      <c r="H122" s="292"/>
      <c r="I122" s="292"/>
      <c r="J122" s="292"/>
      <c r="K122" s="292"/>
      <c r="L122" s="292"/>
      <c r="M122" s="292"/>
      <c r="N122" s="292">
        <f t="shared" si="5"/>
        <v>1</v>
      </c>
      <c r="O122" s="296">
        <f t="shared" si="4"/>
        <v>2017</v>
      </c>
      <c r="P122" s="297">
        <f ca="1">VLOOKUP(INT(O122),'Exhibit 7.3'!$A$1:$I$128,9)*N122+(1-N122)*VLOOKUP(INT(O122)+1,'Exhibit 7.3'!$A$1:$I$128,9)</f>
        <v>0.3728507646293775</v>
      </c>
      <c r="Q122" s="297"/>
    </row>
    <row r="123" spans="1:17">
      <c r="A123" s="292"/>
      <c r="B123" s="292"/>
      <c r="C123" s="292"/>
      <c r="D123" s="292"/>
      <c r="E123" s="292"/>
      <c r="F123" s="292"/>
      <c r="G123" s="292"/>
      <c r="H123" s="292"/>
      <c r="I123" s="292"/>
      <c r="J123" s="292"/>
      <c r="K123" s="292"/>
      <c r="L123" s="292"/>
      <c r="M123" s="292"/>
      <c r="N123" s="292">
        <f t="shared" si="5"/>
        <v>0.75</v>
      </c>
      <c r="O123" s="296">
        <f t="shared" si="4"/>
        <v>2017.25</v>
      </c>
      <c r="P123" s="297">
        <f ca="1">VLOOKUP(INT(O123),'Exhibit 7.3'!$A$1:$I$128,9)*N123+(1-N123)*VLOOKUP(INT(O123)+1,'Exhibit 7.3'!$A$1:$I$128,9)</f>
        <v>0.37590204838457669</v>
      </c>
      <c r="Q123" s="297"/>
    </row>
    <row r="124" spans="1:17">
      <c r="A124" s="292"/>
      <c r="B124" s="292"/>
      <c r="C124" s="292"/>
      <c r="D124" s="292"/>
      <c r="E124" s="292"/>
      <c r="F124" s="292"/>
      <c r="G124" s="292"/>
      <c r="H124" s="292"/>
      <c r="I124" s="292"/>
      <c r="J124" s="292"/>
      <c r="K124" s="292"/>
      <c r="L124" s="292"/>
      <c r="M124" s="292"/>
      <c r="N124" s="292">
        <f t="shared" si="5"/>
        <v>0.5</v>
      </c>
      <c r="O124" s="296">
        <f t="shared" si="4"/>
        <v>2017.5</v>
      </c>
      <c r="P124" s="297">
        <f ca="1">VLOOKUP(INT(O124),'Exhibit 7.3'!$A$1:$I$128,9)*N124+(1-N124)*VLOOKUP(INT(O124)+1,'Exhibit 7.3'!$A$1:$I$128,9)</f>
        <v>0.37895333213977589</v>
      </c>
      <c r="Q124" s="297"/>
    </row>
    <row r="125" spans="1:17">
      <c r="A125" s="292"/>
      <c r="B125" s="292"/>
      <c r="C125" s="292"/>
      <c r="D125" s="292"/>
      <c r="E125" s="292"/>
      <c r="F125" s="292"/>
      <c r="G125" s="292"/>
      <c r="H125" s="292"/>
      <c r="I125" s="292"/>
      <c r="J125" s="292"/>
      <c r="K125" s="292"/>
      <c r="L125" s="292"/>
      <c r="M125" s="292"/>
      <c r="N125" s="292">
        <f t="shared" si="5"/>
        <v>0.25</v>
      </c>
      <c r="O125" s="296">
        <f t="shared" si="4"/>
        <v>2017.75</v>
      </c>
      <c r="P125" s="297">
        <f ca="1">VLOOKUP(INT(O125),'Exhibit 7.3'!$A$1:$I$128,9)*N125+(1-N125)*VLOOKUP(INT(O125)+1,'Exhibit 7.3'!$A$1:$I$128,9)</f>
        <v>0.38200461589497509</v>
      </c>
      <c r="Q125" s="297"/>
    </row>
    <row r="126" spans="1:17">
      <c r="A126" s="292"/>
      <c r="B126" s="292"/>
      <c r="C126" s="292"/>
      <c r="D126" s="292"/>
      <c r="E126" s="292"/>
      <c r="F126" s="292"/>
      <c r="G126" s="292"/>
      <c r="H126" s="292"/>
      <c r="I126" s="292"/>
      <c r="J126" s="292"/>
      <c r="K126" s="292"/>
      <c r="L126" s="292"/>
      <c r="M126" s="292"/>
      <c r="N126" s="292">
        <f t="shared" si="5"/>
        <v>1</v>
      </c>
      <c r="O126" s="296">
        <f t="shared" si="4"/>
        <v>2018</v>
      </c>
      <c r="P126" s="297">
        <f ca="1">VLOOKUP(INT(O126),'Exhibit 7.3'!$A$1:$I$128,9)*N126+(1-N126)*VLOOKUP(INT(O126)+1,'Exhibit 7.3'!$A$1:$I$128,9)</f>
        <v>0.38505589965017428</v>
      </c>
      <c r="Q126" s="297"/>
    </row>
    <row r="127" spans="1:17">
      <c r="A127" s="292"/>
      <c r="B127" s="292"/>
      <c r="C127" s="292"/>
      <c r="D127" s="292"/>
      <c r="E127" s="292"/>
      <c r="F127" s="292"/>
      <c r="G127" s="292"/>
      <c r="H127" s="292"/>
      <c r="I127" s="292"/>
      <c r="J127" s="292"/>
      <c r="K127" s="292"/>
      <c r="L127" s="292"/>
      <c r="M127" s="292"/>
      <c r="N127" s="292">
        <f t="shared" ref="N127:N152" si="6">INT(O127)-O127+1</f>
        <v>0.75</v>
      </c>
      <c r="O127" s="296">
        <f t="shared" si="4"/>
        <v>2018.25</v>
      </c>
      <c r="P127" s="297">
        <f ca="1">VLOOKUP(INT(O127),'Exhibit 7.3'!$A$1:$I$128,9)*N127+(1-N127)*VLOOKUP(INT(O127)+1,'Exhibit 7.3'!$A$1:$I$128,9)</f>
        <v>0.38517500747984545</v>
      </c>
      <c r="Q127" s="297"/>
    </row>
    <row r="128" spans="1:17">
      <c r="A128" s="292"/>
      <c r="B128" s="292"/>
      <c r="C128" s="292"/>
      <c r="D128" s="292"/>
      <c r="E128" s="292"/>
      <c r="F128" s="292"/>
      <c r="G128" s="292"/>
      <c r="H128" s="292"/>
      <c r="I128" s="292"/>
      <c r="J128" s="292"/>
      <c r="K128" s="292"/>
      <c r="L128" s="292"/>
      <c r="M128" s="292"/>
      <c r="N128" s="292">
        <f t="shared" si="6"/>
        <v>0.5</v>
      </c>
      <c r="O128" s="296">
        <f t="shared" si="4"/>
        <v>2018.5</v>
      </c>
      <c r="P128" s="297">
        <f ca="1">VLOOKUP(INT(O128),'Exhibit 7.3'!$A$1:$I$128,9)*N128+(1-N128)*VLOOKUP(INT(O128)+1,'Exhibit 7.3'!$A$1:$I$128,9)</f>
        <v>0.38529411530951663</v>
      </c>
      <c r="Q128" s="245"/>
    </row>
    <row r="129" spans="1:17">
      <c r="A129" s="292"/>
      <c r="B129" s="292"/>
      <c r="C129" s="292"/>
      <c r="D129" s="292"/>
      <c r="E129" s="292"/>
      <c r="F129" s="292"/>
      <c r="G129" s="292"/>
      <c r="H129" s="292"/>
      <c r="I129" s="292"/>
      <c r="J129" s="292"/>
      <c r="K129" s="292"/>
      <c r="L129" s="292"/>
      <c r="M129" s="292"/>
      <c r="N129" s="292">
        <f t="shared" si="6"/>
        <v>0.25</v>
      </c>
      <c r="O129" s="296">
        <f t="shared" si="4"/>
        <v>2018.75</v>
      </c>
      <c r="P129" s="297">
        <f ca="1">VLOOKUP(INT(O129),'Exhibit 7.3'!$A$1:$I$128,9)*N129+(1-N129)*VLOOKUP(INT(O129)+1,'Exhibit 7.3'!$A$1:$I$128,9)</f>
        <v>0.38541322313918785</v>
      </c>
      <c r="Q129" s="245"/>
    </row>
    <row r="130" spans="1:17" ht="13">
      <c r="A130" s="292"/>
      <c r="B130" s="292"/>
      <c r="C130" s="292"/>
      <c r="D130" s="292"/>
      <c r="E130" s="292"/>
      <c r="F130" s="292"/>
      <c r="G130" s="292"/>
      <c r="H130" s="292"/>
      <c r="I130" s="292"/>
      <c r="J130" s="292"/>
      <c r="K130" s="292"/>
      <c r="L130" s="292"/>
      <c r="M130" s="292"/>
      <c r="N130" s="292">
        <f t="shared" si="6"/>
        <v>1</v>
      </c>
      <c r="O130" s="296">
        <f t="shared" si="4"/>
        <v>2019</v>
      </c>
      <c r="P130" s="297">
        <f ca="1">VLOOKUP(INT(O130),'Exhibit 7.3'!$A$1:$I$128,9)*N130+(1-N130)*VLOOKUP(INT(O130)+1,'Exhibit 7.3'!$A$1:$I$128,9)</f>
        <v>0.38553233096885903</v>
      </c>
      <c r="Q130" s="246"/>
    </row>
    <row r="131" spans="1:17" ht="13">
      <c r="A131" s="292"/>
      <c r="B131" s="292"/>
      <c r="C131" s="292"/>
      <c r="D131" s="292"/>
      <c r="E131" s="292"/>
      <c r="F131" s="292"/>
      <c r="G131" s="292"/>
      <c r="H131" s="292"/>
      <c r="I131" s="292"/>
      <c r="J131" s="292"/>
      <c r="K131" s="292"/>
      <c r="L131" s="292"/>
      <c r="M131" s="292"/>
      <c r="N131" s="292">
        <f t="shared" ref="N131:N134" si="7">INT(O131)-O131+1</f>
        <v>0.75</v>
      </c>
      <c r="O131" s="296">
        <f t="shared" si="4"/>
        <v>2019.25</v>
      </c>
      <c r="P131" s="297">
        <f ca="1">VLOOKUP(INT(O131),'Exhibit 7.3'!$A$1:$I$128,9)*N131+(1-N131)*VLOOKUP(INT(O131)+1,'Exhibit 7.3'!$A$1:$I$128,9)</f>
        <v>0.3820060387337551</v>
      </c>
      <c r="Q131" s="246"/>
    </row>
    <row r="132" spans="1:17" ht="13">
      <c r="A132" s="292"/>
      <c r="B132" s="292"/>
      <c r="C132" s="292"/>
      <c r="D132" s="292"/>
      <c r="E132" s="292"/>
      <c r="F132" s="292"/>
      <c r="G132" s="292"/>
      <c r="H132" s="292"/>
      <c r="I132" s="292"/>
      <c r="J132" s="292"/>
      <c r="K132" s="292"/>
      <c r="L132" s="292"/>
      <c r="M132" s="292"/>
      <c r="N132" s="292">
        <f t="shared" si="7"/>
        <v>0.5</v>
      </c>
      <c r="O132" s="296">
        <f t="shared" si="4"/>
        <v>2019.5</v>
      </c>
      <c r="P132" s="297">
        <f ca="1">VLOOKUP(INT(O132),'Exhibit 7.3'!$A$1:$I$128,9)*N132+(1-N132)*VLOOKUP(INT(O132)+1,'Exhibit 7.3'!$A$1:$I$128,9)</f>
        <v>0.37847974649865113</v>
      </c>
      <c r="Q132" s="246"/>
    </row>
    <row r="133" spans="1:17" ht="13">
      <c r="A133" s="292"/>
      <c r="B133" s="292"/>
      <c r="C133" s="292"/>
      <c r="D133" s="292"/>
      <c r="E133" s="292"/>
      <c r="F133" s="292"/>
      <c r="G133" s="292"/>
      <c r="H133" s="292"/>
      <c r="I133" s="292"/>
      <c r="J133" s="292"/>
      <c r="K133" s="292"/>
      <c r="L133" s="292"/>
      <c r="M133" s="292"/>
      <c r="N133" s="292">
        <f t="shared" si="7"/>
        <v>0.25</v>
      </c>
      <c r="O133" s="296">
        <f t="shared" si="4"/>
        <v>2019.75</v>
      </c>
      <c r="P133" s="297">
        <f ca="1">VLOOKUP(INT(O133),'Exhibit 7.3'!$A$1:$I$128,9)*N133+(1-N133)*VLOOKUP(INT(O133)+1,'Exhibit 7.3'!$A$1:$I$128,9)</f>
        <v>0.3749534542635472</v>
      </c>
      <c r="Q133" s="246"/>
    </row>
    <row r="134" spans="1:17" ht="13">
      <c r="A134" s="292"/>
      <c r="B134" s="292"/>
      <c r="C134" s="292"/>
      <c r="D134" s="292"/>
      <c r="E134" s="292"/>
      <c r="F134" s="292"/>
      <c r="G134" s="292"/>
      <c r="H134" s="292"/>
      <c r="I134" s="292"/>
      <c r="J134" s="292"/>
      <c r="K134" s="292"/>
      <c r="L134" s="292"/>
      <c r="M134" s="292"/>
      <c r="N134" s="292">
        <f t="shared" si="7"/>
        <v>1</v>
      </c>
      <c r="O134" s="296">
        <f t="shared" si="4"/>
        <v>2020</v>
      </c>
      <c r="P134" s="297">
        <f ca="1">VLOOKUP(INT(O134),'Exhibit 7.3'!$A$1:$I$128,9)*N134+(1-N134)*VLOOKUP(INT(O134)+1,'Exhibit 7.3'!$A$1:$I$128,9)</f>
        <v>0.37142716202844328</v>
      </c>
      <c r="Q134" s="246"/>
    </row>
    <row r="135" spans="1:17">
      <c r="A135" s="292"/>
      <c r="B135" s="292"/>
      <c r="C135" s="292"/>
      <c r="D135" s="292"/>
      <c r="E135" s="292"/>
      <c r="F135" s="292"/>
      <c r="G135" s="292"/>
      <c r="H135" s="292"/>
      <c r="I135" s="292"/>
      <c r="J135" s="292"/>
      <c r="K135" s="292"/>
      <c r="L135" s="292"/>
      <c r="M135" s="292"/>
      <c r="N135" s="292">
        <f t="shared" ref="N135" si="8">INT(O135)-O135+1</f>
        <v>0.75</v>
      </c>
      <c r="O135" s="296">
        <f t="shared" si="4"/>
        <v>2020.25</v>
      </c>
      <c r="P135" s="297">
        <f ca="1">VLOOKUP(INT(O135),'Exhibit 7.3'!$A$1:$I$128,9)*N135+(1-N135)*VLOOKUP(INT(O135)+1,'Exhibit 7.3'!$A$1:$I$128,9)</f>
        <v>0.37808635703394594</v>
      </c>
      <c r="Q135" s="299"/>
    </row>
    <row r="136" spans="1:17">
      <c r="A136" s="292"/>
      <c r="B136" s="292"/>
      <c r="C136" s="292"/>
      <c r="D136" s="292"/>
      <c r="E136" s="292"/>
      <c r="F136" s="292"/>
      <c r="G136" s="292"/>
      <c r="H136" s="292"/>
      <c r="I136" s="292"/>
      <c r="J136" s="292"/>
      <c r="K136" s="292"/>
      <c r="L136" s="292"/>
      <c r="M136" s="292"/>
      <c r="N136" s="292">
        <f t="shared" si="6"/>
        <v>0.5</v>
      </c>
      <c r="O136" s="296">
        <f t="shared" si="4"/>
        <v>2020.5</v>
      </c>
      <c r="P136" s="297">
        <f ca="1">VLOOKUP(INT(O136),'Exhibit 7.3'!$A$1:$I$128,9)*N136+(1-N136)*VLOOKUP(INT(O136)+1,'Exhibit 7.3'!$A$1:$I$128,9)</f>
        <v>0.3847455520394486</v>
      </c>
      <c r="Q136" s="245"/>
    </row>
    <row r="137" spans="1:17">
      <c r="A137" s="292"/>
      <c r="B137" s="292"/>
      <c r="C137" s="292"/>
      <c r="D137" s="292"/>
      <c r="E137" s="292"/>
      <c r="F137" s="292"/>
      <c r="G137" s="292"/>
      <c r="H137" s="292"/>
      <c r="I137" s="292"/>
      <c r="J137" s="292"/>
      <c r="K137" s="292"/>
      <c r="L137" s="292"/>
      <c r="M137" s="292"/>
      <c r="N137" s="292">
        <f t="shared" si="6"/>
        <v>0.25</v>
      </c>
      <c r="O137" s="296">
        <f t="shared" si="4"/>
        <v>2020.75</v>
      </c>
      <c r="P137" s="297">
        <f ca="1">VLOOKUP(INT(O137),'Exhibit 7.3'!$A$1:$I$128,9)*N137+(1-N137)*VLOOKUP(INT(O137)+1,'Exhibit 7.3'!$A$1:$I$128,9)</f>
        <v>0.39140474704495121</v>
      </c>
      <c r="Q137" s="245"/>
    </row>
    <row r="138" spans="1:17" ht="13">
      <c r="A138" s="292"/>
      <c r="B138" s="292"/>
      <c r="C138" s="292"/>
      <c r="D138" s="292"/>
      <c r="E138" s="292"/>
      <c r="F138" s="292"/>
      <c r="G138" s="292"/>
      <c r="H138" s="292"/>
      <c r="I138" s="292"/>
      <c r="J138" s="292"/>
      <c r="K138" s="292"/>
      <c r="L138" s="292"/>
      <c r="M138" s="292"/>
      <c r="N138" s="292">
        <f t="shared" si="6"/>
        <v>1</v>
      </c>
      <c r="O138" s="296">
        <f t="shared" si="4"/>
        <v>2021</v>
      </c>
      <c r="P138" s="297">
        <f ca="1">VLOOKUP(INT(O138),'Exhibit 7.3'!$A$1:$I$128,9)*N138+(1-N138)*VLOOKUP(INT(O138)+1,'Exhibit 7.3'!$A$1:$I$128,9)</f>
        <v>0.39806394205045387</v>
      </c>
      <c r="Q138" s="246"/>
    </row>
    <row r="139" spans="1:17">
      <c r="A139" s="292"/>
      <c r="B139" s="292"/>
      <c r="C139" s="292"/>
      <c r="D139" s="292"/>
      <c r="E139" s="292"/>
      <c r="F139" s="292"/>
      <c r="G139" s="292"/>
      <c r="H139" s="292"/>
      <c r="I139" s="292"/>
      <c r="J139" s="292"/>
      <c r="K139" s="292"/>
      <c r="L139" s="292"/>
      <c r="M139" s="292"/>
      <c r="N139" s="292">
        <f t="shared" si="6"/>
        <v>0.75</v>
      </c>
      <c r="O139" s="296">
        <f t="shared" si="4"/>
        <v>2021.25</v>
      </c>
      <c r="P139" s="297">
        <f ca="1">VLOOKUP(INT(O139),'Exhibit 7.3'!$A$1:$I$128,9)*N139+(1-N139)*VLOOKUP(INT(O139)+1,'Exhibit 7.3'!$A$1:$I$128,9)</f>
        <v>0.38990480453461007</v>
      </c>
      <c r="Q139" s="245"/>
    </row>
    <row r="140" spans="1:17">
      <c r="A140" s="292"/>
      <c r="B140" s="292"/>
      <c r="C140" s="292"/>
      <c r="D140" s="292"/>
      <c r="E140" s="292"/>
      <c r="F140" s="292"/>
      <c r="G140" s="292"/>
      <c r="H140" s="292"/>
      <c r="I140" s="292"/>
      <c r="J140" s="292"/>
      <c r="K140" s="292"/>
      <c r="L140" s="292"/>
      <c r="M140" s="292"/>
      <c r="N140" s="292">
        <f t="shared" si="6"/>
        <v>0.5</v>
      </c>
      <c r="O140" s="296">
        <f t="shared" si="4"/>
        <v>2021.5</v>
      </c>
      <c r="P140" s="297">
        <f ca="1">VLOOKUP(INT(O140),'Exhibit 7.3'!$A$1:$I$128,9)*N140+(1-N140)*VLOOKUP(INT(O140)+1,'Exhibit 7.3'!$A$1:$I$128,9)</f>
        <v>0.38174566701876633</v>
      </c>
      <c r="Q140" s="245"/>
    </row>
    <row r="141" spans="1:17">
      <c r="A141" s="292"/>
      <c r="B141" s="292"/>
      <c r="C141" s="292"/>
      <c r="D141" s="292"/>
      <c r="E141" s="292"/>
      <c r="F141" s="292"/>
      <c r="G141" s="292"/>
      <c r="H141" s="292"/>
      <c r="I141" s="292"/>
      <c r="J141" s="292"/>
      <c r="K141" s="292"/>
      <c r="L141" s="292"/>
      <c r="M141" s="292"/>
      <c r="N141" s="292">
        <f t="shared" si="6"/>
        <v>0.25</v>
      </c>
      <c r="O141" s="296">
        <f t="shared" si="4"/>
        <v>2021.75</v>
      </c>
      <c r="P141" s="297">
        <f ca="1">VLOOKUP(INT(O141),'Exhibit 7.3'!$A$1:$I$128,9)*N141+(1-N141)*VLOOKUP(INT(O141)+1,'Exhibit 7.3'!$A$1:$I$128,9)</f>
        <v>0.37358652950292254</v>
      </c>
      <c r="Q141" s="245"/>
    </row>
    <row r="142" spans="1:17">
      <c r="A142" s="292"/>
      <c r="B142" s="292"/>
      <c r="C142" s="292"/>
      <c r="D142" s="292"/>
      <c r="E142" s="292"/>
      <c r="F142" s="292"/>
      <c r="G142" s="292"/>
      <c r="H142" s="292"/>
      <c r="I142" s="292"/>
      <c r="J142" s="292"/>
      <c r="K142" s="292"/>
      <c r="L142" s="292"/>
      <c r="M142" s="292"/>
      <c r="N142" s="292">
        <f t="shared" si="6"/>
        <v>1</v>
      </c>
      <c r="O142" s="296">
        <f t="shared" si="4"/>
        <v>2022</v>
      </c>
      <c r="P142" s="297">
        <f ca="1">VLOOKUP(INT(O142),'Exhibit 7.3'!$A$1:$I$128,9)*N142+(1-N142)*VLOOKUP(INT(O142)+1,'Exhibit 7.3'!$A$1:$I$128,9)</f>
        <v>0.36542739198707874</v>
      </c>
      <c r="Q142" s="297">
        <f ca="1">$P142</f>
        <v>0.36542739198707874</v>
      </c>
    </row>
    <row r="143" spans="1:17">
      <c r="A143" s="292"/>
      <c r="B143" s="292"/>
      <c r="C143" s="292"/>
      <c r="D143" s="292"/>
      <c r="E143" s="292"/>
      <c r="F143" s="292"/>
      <c r="G143" s="292"/>
      <c r="H143" s="292"/>
      <c r="I143" s="292"/>
      <c r="J143" s="292"/>
      <c r="K143" s="292"/>
      <c r="L143" s="292"/>
      <c r="M143" s="292"/>
      <c r="N143" s="292">
        <f t="shared" si="6"/>
        <v>0.75</v>
      </c>
      <c r="O143" s="296">
        <f t="shared" si="4"/>
        <v>2022.25</v>
      </c>
      <c r="P143" s="296"/>
      <c r="Q143" s="297">
        <f ca="1">$Q$142*$N143+(1-$N143)*$Q$146</f>
        <v>0.37087795783797062</v>
      </c>
    </row>
    <row r="144" spans="1:17">
      <c r="A144" s="292"/>
      <c r="B144" s="292"/>
      <c r="C144" s="292"/>
      <c r="D144" s="292"/>
      <c r="E144" s="292"/>
      <c r="F144" s="292"/>
      <c r="G144" s="292"/>
      <c r="H144" s="292"/>
      <c r="I144" s="292"/>
      <c r="J144" s="292"/>
      <c r="K144" s="292"/>
      <c r="L144" s="292"/>
      <c r="M144" s="292"/>
      <c r="N144" s="292">
        <f t="shared" si="6"/>
        <v>0.5</v>
      </c>
      <c r="O144" s="296">
        <f t="shared" si="4"/>
        <v>2022.5</v>
      </c>
      <c r="P144" s="296"/>
      <c r="Q144" s="297">
        <f ca="1">$Q$142*$N144+(1-$N144)*$Q$146</f>
        <v>0.37632852368886249</v>
      </c>
    </row>
    <row r="145" spans="1:17">
      <c r="A145" s="292"/>
      <c r="B145" s="292"/>
      <c r="C145" s="292"/>
      <c r="D145" s="292"/>
      <c r="E145" s="292"/>
      <c r="F145" s="292"/>
      <c r="G145" s="292"/>
      <c r="H145" s="292"/>
      <c r="I145" s="292"/>
      <c r="J145" s="292"/>
      <c r="K145" s="292"/>
      <c r="L145" s="292"/>
      <c r="M145" s="292"/>
      <c r="N145" s="292">
        <f t="shared" si="6"/>
        <v>0.25</v>
      </c>
      <c r="O145" s="296">
        <f t="shared" si="4"/>
        <v>2022.75</v>
      </c>
      <c r="P145" s="296"/>
      <c r="Q145" s="297">
        <f ca="1">$Q$142*$N145+(1-$N145)*$Q$146</f>
        <v>0.38177908953975431</v>
      </c>
    </row>
    <row r="146" spans="1:17">
      <c r="A146" s="292"/>
      <c r="B146" s="292"/>
      <c r="C146" s="292"/>
      <c r="D146" s="292"/>
      <c r="E146" s="292"/>
      <c r="F146" s="292"/>
      <c r="G146" s="292"/>
      <c r="H146" s="292"/>
      <c r="I146" s="292"/>
      <c r="J146" s="292"/>
      <c r="K146" s="292"/>
      <c r="L146" s="292"/>
      <c r="M146" s="292"/>
      <c r="N146" s="292">
        <f t="shared" si="6"/>
        <v>1</v>
      </c>
      <c r="O146" s="296">
        <f t="shared" si="4"/>
        <v>2023</v>
      </c>
      <c r="P146" s="296"/>
      <c r="Q146" s="297">
        <f ca="1">'Exhibit 7.3'!$I$47</f>
        <v>0.38722965539064619</v>
      </c>
    </row>
    <row r="147" spans="1:17">
      <c r="A147" s="292"/>
      <c r="B147" s="292"/>
      <c r="C147" s="292"/>
      <c r="D147" s="292"/>
      <c r="E147" s="292"/>
      <c r="F147" s="292"/>
      <c r="G147" s="292"/>
      <c r="H147" s="292"/>
      <c r="I147" s="292"/>
      <c r="J147" s="292"/>
      <c r="K147" s="292"/>
      <c r="L147" s="292"/>
      <c r="M147" s="292"/>
      <c r="N147" s="292">
        <f t="shared" si="6"/>
        <v>0.75</v>
      </c>
      <c r="O147" s="296">
        <f t="shared" si="4"/>
        <v>2023.25</v>
      </c>
      <c r="P147" s="296"/>
      <c r="Q147" s="297">
        <f ca="1">$Q$146*$N147+(1-$N147)*$Q$150</f>
        <v>0.38703751104914536</v>
      </c>
    </row>
    <row r="148" spans="1:17">
      <c r="A148" s="292"/>
      <c r="B148" s="292"/>
      <c r="C148" s="292"/>
      <c r="D148" s="292"/>
      <c r="E148" s="292"/>
      <c r="F148" s="292"/>
      <c r="G148" s="292"/>
      <c r="H148" s="292"/>
      <c r="I148" s="292"/>
      <c r="J148" s="292"/>
      <c r="K148" s="292"/>
      <c r="L148" s="292"/>
      <c r="M148" s="292"/>
      <c r="N148" s="292">
        <f t="shared" si="6"/>
        <v>0.5</v>
      </c>
      <c r="O148" s="296">
        <f t="shared" si="4"/>
        <v>2023.5</v>
      </c>
      <c r="P148" s="296"/>
      <c r="Q148" s="297">
        <f t="shared" ref="Q148:Q149" ca="1" si="9">$Q$146*$N148+(1-$N148)*$Q$150</f>
        <v>0.38684536670764458</v>
      </c>
    </row>
    <row r="149" spans="1:17">
      <c r="A149" s="292"/>
      <c r="B149" s="292"/>
      <c r="C149" s="292"/>
      <c r="D149" s="292"/>
      <c r="E149" s="292"/>
      <c r="F149" s="292"/>
      <c r="G149" s="292"/>
      <c r="H149" s="292"/>
      <c r="I149" s="292"/>
      <c r="J149" s="292"/>
      <c r="K149" s="292"/>
      <c r="L149" s="292"/>
      <c r="M149" s="292"/>
      <c r="N149" s="292">
        <f t="shared" si="6"/>
        <v>0.25</v>
      </c>
      <c r="O149" s="296">
        <f t="shared" si="4"/>
        <v>2023.75</v>
      </c>
      <c r="P149" s="296"/>
      <c r="Q149" s="297">
        <f t="shared" ca="1" si="9"/>
        <v>0.38665322236614375</v>
      </c>
    </row>
    <row r="150" spans="1:17">
      <c r="A150" s="292"/>
      <c r="B150" s="292"/>
      <c r="C150" s="292"/>
      <c r="D150" s="292"/>
      <c r="E150" s="292"/>
      <c r="F150" s="292"/>
      <c r="G150" s="292"/>
      <c r="H150" s="292"/>
      <c r="I150" s="292"/>
      <c r="J150" s="292"/>
      <c r="K150" s="292"/>
      <c r="L150" s="292"/>
      <c r="M150" s="292"/>
      <c r="N150" s="292">
        <f t="shared" si="6"/>
        <v>1</v>
      </c>
      <c r="O150" s="296">
        <f t="shared" si="4"/>
        <v>2024</v>
      </c>
      <c r="P150" s="296"/>
      <c r="Q150" s="297">
        <f ca="1">'Exhibit 7.3'!$I$48</f>
        <v>0.38646107802464291</v>
      </c>
    </row>
    <row r="151" spans="1:17">
      <c r="A151" s="292"/>
      <c r="B151" s="292"/>
      <c r="C151" s="292"/>
      <c r="D151" s="292"/>
      <c r="E151" s="292"/>
      <c r="F151" s="292"/>
      <c r="G151" s="292"/>
      <c r="H151" s="292"/>
      <c r="I151" s="292"/>
      <c r="J151" s="292"/>
      <c r="K151" s="292"/>
      <c r="L151" s="292"/>
      <c r="M151" s="292"/>
      <c r="N151" s="292">
        <f t="shared" si="6"/>
        <v>0.75</v>
      </c>
      <c r="O151" s="296">
        <f t="shared" si="4"/>
        <v>2024.25</v>
      </c>
      <c r="Q151" s="297">
        <f ca="1">AVERAGE($Q$150,$Q$152)</f>
        <v>0.38655434319612414</v>
      </c>
    </row>
    <row r="152" spans="1:17">
      <c r="A152" s="292"/>
      <c r="B152" s="292"/>
      <c r="C152" s="292"/>
      <c r="D152" s="292"/>
      <c r="E152" s="292"/>
      <c r="F152" s="292"/>
      <c r="G152" s="292"/>
      <c r="H152" s="292"/>
      <c r="I152" s="292"/>
      <c r="J152" s="292"/>
      <c r="K152" s="292"/>
      <c r="L152" s="292"/>
      <c r="M152" s="292"/>
      <c r="N152" s="292">
        <f t="shared" si="6"/>
        <v>0.5</v>
      </c>
      <c r="O152" s="296">
        <f t="shared" si="4"/>
        <v>2024.5</v>
      </c>
      <c r="Q152" s="297">
        <f ca="1">'Exhibit 7.3'!$I$49</f>
        <v>0.38664760836760531</v>
      </c>
    </row>
    <row r="153" spans="1:17">
      <c r="A153" s="292"/>
      <c r="B153" s="292"/>
      <c r="C153" s="292"/>
      <c r="D153" s="292"/>
      <c r="E153" s="292"/>
      <c r="F153" s="292"/>
      <c r="G153" s="292"/>
      <c r="H153" s="292"/>
      <c r="I153" s="292"/>
      <c r="J153" s="292"/>
      <c r="K153" s="292"/>
      <c r="L153" s="292"/>
      <c r="M153" s="292"/>
      <c r="Q153" s="104"/>
    </row>
    <row r="154" spans="1:17">
      <c r="A154" s="292"/>
      <c r="B154" s="292"/>
      <c r="C154" s="292"/>
      <c r="D154" s="292"/>
      <c r="E154" s="292"/>
      <c r="F154" s="292"/>
      <c r="G154" s="292"/>
      <c r="H154" s="292"/>
      <c r="I154" s="292"/>
      <c r="J154" s="292"/>
      <c r="K154" s="292"/>
      <c r="L154" s="292"/>
      <c r="M154" s="292"/>
    </row>
    <row r="155" spans="1:17">
      <c r="A155" s="292"/>
      <c r="B155" s="292"/>
      <c r="C155" s="292"/>
      <c r="D155" s="292"/>
      <c r="E155" s="292"/>
      <c r="F155" s="292"/>
      <c r="G155" s="292"/>
      <c r="H155" s="292"/>
      <c r="I155" s="292"/>
      <c r="J155" s="292"/>
      <c r="K155" s="292"/>
      <c r="L155" s="292"/>
      <c r="M155" s="292"/>
    </row>
    <row r="156" spans="1:17">
      <c r="A156" s="292"/>
      <c r="B156" s="292"/>
      <c r="C156" s="292"/>
      <c r="D156" s="292"/>
      <c r="E156" s="292"/>
      <c r="F156" s="292"/>
      <c r="G156" s="292"/>
      <c r="H156" s="292"/>
      <c r="I156" s="292"/>
      <c r="J156" s="292"/>
      <c r="K156" s="292"/>
      <c r="L156" s="292"/>
      <c r="M156" s="292"/>
    </row>
    <row r="157" spans="1:17">
      <c r="A157" s="292"/>
      <c r="B157" s="292"/>
      <c r="C157" s="292"/>
      <c r="D157" s="292"/>
      <c r="E157" s="292"/>
      <c r="F157" s="292"/>
      <c r="G157" s="292"/>
      <c r="H157" s="292"/>
      <c r="I157" s="292"/>
      <c r="J157" s="292"/>
      <c r="K157" s="292"/>
      <c r="L157" s="292"/>
      <c r="M157" s="292"/>
    </row>
    <row r="158" spans="1:17">
      <c r="A158" s="292"/>
      <c r="B158" s="292"/>
      <c r="C158" s="292"/>
      <c r="D158" s="292"/>
      <c r="E158" s="292"/>
      <c r="F158" s="292"/>
      <c r="G158" s="292"/>
      <c r="H158" s="292"/>
      <c r="I158" s="292"/>
      <c r="J158" s="292"/>
      <c r="K158" s="292"/>
      <c r="L158" s="292"/>
      <c r="M158" s="292"/>
    </row>
  </sheetData>
  <mergeCells count="1">
    <mergeCell ref="A37:K38"/>
  </mergeCells>
  <pageMargins left="0.5" right="0.5" top="0.75" bottom="0.75" header="0.33" footer="0.33"/>
  <pageSetup scale="94" orientation="portrait" horizontalDpi="1200" verticalDpi="1200" r:id="rId1"/>
  <headerFooter scaleWithDoc="0">
    <oddHeader>&amp;R&amp;"Arial,Regular"&amp;10Exhibit 7.4</oddHeader>
  </headerFooter>
  <colBreaks count="1" manualBreakCount="1">
    <brk id="11"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T19"/>
  <sheetViews>
    <sheetView zoomScaleNormal="100" zoomScaleSheetLayoutView="90" workbookViewId="0"/>
  </sheetViews>
  <sheetFormatPr defaultColWidth="9.1796875" defaultRowHeight="12.5"/>
  <cols>
    <col min="1" max="1" width="6.81640625" style="53" customWidth="1"/>
    <col min="2" max="7" width="7.81640625" style="53" customWidth="1"/>
    <col min="8" max="8" width="14" style="53" customWidth="1"/>
    <col min="9" max="9" width="5" style="53" customWidth="1"/>
    <col min="10" max="10" width="1.1796875" style="53" customWidth="1"/>
    <col min="11" max="11" width="7.81640625" style="53" customWidth="1"/>
    <col min="12" max="12" width="1.81640625" style="53" customWidth="1"/>
    <col min="13" max="13" width="7.81640625" style="53" customWidth="1"/>
    <col min="14" max="14" width="1.81640625" style="53" customWidth="1"/>
    <col min="15" max="15" width="7.81640625" style="53" customWidth="1"/>
    <col min="16" max="16384" width="9.1796875" style="53"/>
  </cols>
  <sheetData>
    <row r="1" spans="1:20" ht="14.5">
      <c r="A1" s="369" t="s">
        <v>468</v>
      </c>
      <c r="B1" s="369"/>
      <c r="C1" s="369"/>
      <c r="D1" s="369"/>
      <c r="E1" s="369"/>
      <c r="F1" s="369"/>
      <c r="G1" s="369"/>
      <c r="H1" s="369"/>
      <c r="I1" s="369"/>
      <c r="J1" s="369"/>
      <c r="K1" s="369"/>
      <c r="L1" s="369"/>
      <c r="M1" s="369"/>
      <c r="N1" s="369"/>
      <c r="O1" s="369"/>
      <c r="P1" s="208"/>
      <c r="Q1" s="203"/>
      <c r="R1" s="303"/>
      <c r="S1" s="303"/>
      <c r="T1" s="303"/>
    </row>
    <row r="2" spans="1:20" ht="14.5">
      <c r="A2" s="304" t="s">
        <v>504</v>
      </c>
      <c r="B2" s="304"/>
      <c r="C2" s="304"/>
      <c r="D2" s="304"/>
      <c r="E2" s="304"/>
      <c r="F2" s="304"/>
      <c r="G2" s="304"/>
      <c r="H2" s="304"/>
      <c r="I2" s="304"/>
      <c r="J2" s="304"/>
      <c r="K2" s="304"/>
      <c r="L2" s="304"/>
      <c r="M2" s="304"/>
      <c r="N2" s="304"/>
      <c r="O2" s="304"/>
      <c r="P2" s="203"/>
      <c r="Q2" s="203"/>
      <c r="R2" s="305"/>
      <c r="S2" s="303"/>
      <c r="T2" s="303"/>
    </row>
    <row r="3" spans="1:20" ht="13">
      <c r="A3" s="304" t="s">
        <v>550</v>
      </c>
      <c r="B3" s="304"/>
      <c r="C3" s="304"/>
      <c r="D3" s="304"/>
      <c r="E3" s="304"/>
      <c r="F3" s="304"/>
      <c r="G3" s="304"/>
      <c r="H3" s="304"/>
      <c r="I3" s="304"/>
      <c r="J3" s="304"/>
      <c r="K3" s="304"/>
      <c r="L3" s="304"/>
      <c r="M3" s="304"/>
      <c r="N3" s="304"/>
      <c r="O3" s="304"/>
      <c r="P3" s="303"/>
      <c r="Q3" s="303"/>
      <c r="R3" s="303"/>
      <c r="S3" s="303"/>
      <c r="T3" s="303"/>
    </row>
    <row r="4" spans="1:20" ht="13">
      <c r="A4" s="306"/>
      <c r="B4" s="304"/>
      <c r="C4" s="304"/>
      <c r="D4" s="304"/>
      <c r="E4" s="304"/>
      <c r="F4" s="304"/>
      <c r="G4" s="304"/>
      <c r="H4" s="304"/>
      <c r="I4" s="304"/>
      <c r="J4" s="304"/>
      <c r="K4" s="304"/>
      <c r="L4" s="304"/>
      <c r="M4" s="304"/>
      <c r="N4" s="304"/>
      <c r="O4" s="304"/>
      <c r="P4" s="303"/>
      <c r="Q4" s="303"/>
      <c r="R4" s="303"/>
      <c r="S4" s="303"/>
      <c r="T4" s="303"/>
    </row>
    <row r="5" spans="1:20">
      <c r="A5" s="307"/>
      <c r="B5" s="308"/>
      <c r="C5" s="308"/>
      <c r="D5" s="308"/>
      <c r="E5" s="308"/>
      <c r="F5" s="308"/>
      <c r="G5" s="309"/>
      <c r="H5" s="309"/>
      <c r="I5" s="309"/>
      <c r="J5" s="309"/>
      <c r="K5" s="309"/>
      <c r="L5" s="309"/>
      <c r="M5" s="310"/>
      <c r="N5" s="310"/>
      <c r="O5" s="310"/>
      <c r="P5" s="303"/>
      <c r="Q5" s="303"/>
      <c r="R5" s="303"/>
      <c r="S5" s="303"/>
      <c r="T5" s="303"/>
    </row>
    <row r="6" spans="1:20">
      <c r="A6" s="307"/>
      <c r="B6" s="308"/>
      <c r="C6" s="308"/>
      <c r="D6" s="308"/>
      <c r="E6" s="308"/>
      <c r="F6" s="308"/>
      <c r="G6" s="311"/>
      <c r="H6" s="311"/>
      <c r="I6" s="311"/>
      <c r="J6" s="311"/>
      <c r="K6" s="311"/>
      <c r="L6" s="311"/>
      <c r="M6" s="311"/>
      <c r="N6" s="311"/>
      <c r="O6" s="311"/>
      <c r="P6" s="303"/>
      <c r="Q6" s="303"/>
      <c r="R6" s="303"/>
      <c r="S6" s="303"/>
      <c r="T6" s="303"/>
    </row>
    <row r="7" spans="1:20">
      <c r="A7" s="307"/>
      <c r="B7" s="308"/>
      <c r="C7" s="308"/>
      <c r="D7" s="308"/>
      <c r="E7" s="308"/>
      <c r="F7" s="308"/>
      <c r="G7" s="311"/>
      <c r="H7" s="311"/>
      <c r="I7" s="311"/>
      <c r="J7" s="311"/>
      <c r="K7" s="309" t="s">
        <v>3</v>
      </c>
      <c r="L7" s="309"/>
      <c r="M7" s="309" t="s">
        <v>5</v>
      </c>
      <c r="N7" s="309"/>
      <c r="O7" s="309" t="s">
        <v>116</v>
      </c>
      <c r="P7" s="303"/>
      <c r="Q7" s="314" t="s">
        <v>235</v>
      </c>
      <c r="R7" s="315" t="s">
        <v>233</v>
      </c>
      <c r="S7" s="315" t="s">
        <v>236</v>
      </c>
      <c r="T7" s="495" t="s">
        <v>376</v>
      </c>
    </row>
    <row r="8" spans="1:20">
      <c r="A8" s="307"/>
      <c r="B8" s="308"/>
      <c r="C8" s="308"/>
      <c r="D8" s="308"/>
      <c r="E8" s="308"/>
      <c r="F8" s="308"/>
      <c r="G8" s="311"/>
      <c r="H8" s="311"/>
      <c r="I8" s="311"/>
      <c r="J8" s="311"/>
      <c r="K8" s="311"/>
      <c r="L8" s="311"/>
      <c r="M8" s="311"/>
      <c r="N8" s="311"/>
      <c r="O8" s="311"/>
      <c r="P8" s="303"/>
      <c r="Q8" s="493"/>
      <c r="R8" s="494"/>
      <c r="S8" s="494"/>
      <c r="T8" s="496"/>
    </row>
    <row r="9" spans="1:20" ht="28.5" customHeight="1">
      <c r="A9" s="312" t="s">
        <v>226</v>
      </c>
      <c r="B9" s="537" t="s">
        <v>454</v>
      </c>
      <c r="C9" s="537"/>
      <c r="D9" s="537"/>
      <c r="E9" s="537"/>
      <c r="F9" s="537"/>
      <c r="G9" s="537"/>
      <c r="H9" s="537"/>
      <c r="I9" s="311"/>
      <c r="J9" s="311"/>
      <c r="K9" s="313">
        <f ca="1">+ROUND('Exhibit 7.1'!I49,3)</f>
        <v>0.36799999999999999</v>
      </c>
      <c r="L9" s="313"/>
      <c r="M9" s="313">
        <f ca="1">+ROUND('Exhibit 7.3'!I49,3)</f>
        <v>0.38700000000000001</v>
      </c>
      <c r="N9" s="313"/>
      <c r="O9" s="313">
        <f ca="1">ROUND(M9,3)+ROUND(K9,3)</f>
        <v>0.755</v>
      </c>
      <c r="P9" s="303"/>
      <c r="Q9" s="497">
        <v>0.14000000000000001</v>
      </c>
      <c r="R9" s="169">
        <v>3.3000000000000002E-2</v>
      </c>
      <c r="S9" s="169">
        <v>0.14399999999999999</v>
      </c>
      <c r="T9" s="498">
        <f>SUM(Q9:S9)</f>
        <v>0.317</v>
      </c>
    </row>
    <row r="10" spans="1:20">
      <c r="A10" s="307"/>
      <c r="B10" s="303"/>
      <c r="C10" s="303"/>
      <c r="D10" s="303"/>
      <c r="E10" s="303"/>
      <c r="F10" s="303"/>
      <c r="G10" s="311"/>
      <c r="H10" s="311"/>
      <c r="I10" s="311"/>
      <c r="J10" s="311"/>
      <c r="K10" s="311"/>
      <c r="L10" s="311"/>
      <c r="M10" s="311"/>
      <c r="N10" s="311"/>
      <c r="O10" s="311"/>
      <c r="P10" s="303"/>
    </row>
    <row r="11" spans="1:20" ht="15" customHeight="1">
      <c r="A11" s="368" t="s">
        <v>327</v>
      </c>
      <c r="B11" s="303" t="s">
        <v>227</v>
      </c>
      <c r="C11" s="156"/>
      <c r="D11" s="156"/>
      <c r="E11" s="156"/>
      <c r="F11" s="156"/>
      <c r="G11" s="156"/>
      <c r="H11" s="156"/>
      <c r="I11" s="156"/>
      <c r="J11" s="316"/>
      <c r="K11" s="317"/>
      <c r="L11" s="317"/>
      <c r="M11" s="317"/>
      <c r="N11" s="58"/>
      <c r="O11" s="58">
        <f>1+$T$9</f>
        <v>1.3169999999999999</v>
      </c>
      <c r="P11" s="303"/>
      <c r="Q11" s="303"/>
      <c r="R11" s="303"/>
      <c r="S11" s="303"/>
      <c r="T11" s="365"/>
    </row>
    <row r="12" spans="1:20" ht="15" customHeight="1">
      <c r="A12" s="47"/>
      <c r="B12" s="303" t="s">
        <v>330</v>
      </c>
      <c r="C12" s="156"/>
      <c r="D12" s="156"/>
      <c r="E12" s="156"/>
      <c r="F12" s="156"/>
      <c r="G12" s="156"/>
      <c r="H12" s="156"/>
      <c r="I12" s="156"/>
      <c r="J12" s="316"/>
      <c r="K12" s="317"/>
      <c r="L12" s="317"/>
      <c r="M12" s="317"/>
      <c r="N12" s="58"/>
      <c r="O12" s="170"/>
      <c r="P12" s="303"/>
      <c r="Q12" s="303"/>
      <c r="R12" s="303"/>
      <c r="S12" s="303"/>
      <c r="T12" s="365"/>
    </row>
    <row r="13" spans="1:20" ht="12.75" customHeight="1">
      <c r="A13" s="47"/>
      <c r="B13" s="366"/>
      <c r="C13" s="366"/>
      <c r="D13" s="366"/>
      <c r="E13" s="366"/>
      <c r="F13" s="366"/>
      <c r="G13" s="366"/>
      <c r="H13" s="366"/>
      <c r="I13" s="367"/>
      <c r="J13" s="316"/>
      <c r="K13" s="317"/>
      <c r="L13" s="317"/>
      <c r="M13" s="317"/>
      <c r="N13" s="58"/>
      <c r="O13" s="317"/>
      <c r="P13" s="303"/>
      <c r="Q13" s="303"/>
      <c r="R13" s="303"/>
      <c r="S13" s="303"/>
      <c r="T13" s="365"/>
    </row>
    <row r="14" spans="1:20" ht="39.75" customHeight="1">
      <c r="A14" s="312" t="s">
        <v>328</v>
      </c>
      <c r="B14" s="510" t="s">
        <v>469</v>
      </c>
      <c r="C14" s="510"/>
      <c r="D14" s="510"/>
      <c r="E14" s="510"/>
      <c r="F14" s="510"/>
      <c r="G14" s="510"/>
      <c r="H14" s="510"/>
      <c r="I14" s="510"/>
      <c r="J14" s="510"/>
      <c r="K14" s="510"/>
      <c r="L14" s="317"/>
      <c r="M14" s="317"/>
      <c r="N14" s="58"/>
      <c r="O14" s="317">
        <f ca="1">O11*O9</f>
        <v>0.99433499999999997</v>
      </c>
      <c r="P14" s="303"/>
      <c r="Q14" s="303"/>
      <c r="R14" s="303"/>
      <c r="S14" s="303"/>
      <c r="T14" s="303"/>
    </row>
    <row r="15" spans="1:20" ht="12.75" customHeight="1">
      <c r="A15" s="312"/>
      <c r="B15" s="366"/>
      <c r="C15" s="366"/>
      <c r="D15" s="366"/>
      <c r="E15" s="366"/>
      <c r="F15" s="366"/>
      <c r="G15" s="366"/>
      <c r="H15" s="366"/>
      <c r="I15" s="366"/>
      <c r="J15" s="366"/>
      <c r="K15" s="366"/>
      <c r="L15" s="317"/>
      <c r="M15" s="317"/>
      <c r="N15" s="58"/>
      <c r="O15" s="317"/>
      <c r="P15" s="303"/>
      <c r="Q15" s="303"/>
      <c r="R15" s="303"/>
      <c r="S15" s="303"/>
      <c r="T15" s="303"/>
    </row>
    <row r="16" spans="1:20" ht="39.75" customHeight="1">
      <c r="A16" s="47" t="s">
        <v>228</v>
      </c>
      <c r="B16" s="510" t="s">
        <v>505</v>
      </c>
      <c r="C16" s="510"/>
      <c r="D16" s="510"/>
      <c r="E16" s="510"/>
      <c r="F16" s="510"/>
      <c r="G16" s="510"/>
      <c r="H16" s="510"/>
      <c r="I16" s="510"/>
      <c r="J16" s="510"/>
      <c r="K16" s="510"/>
      <c r="L16" s="318"/>
      <c r="M16" s="318"/>
      <c r="N16" s="23"/>
      <c r="O16" s="170">
        <f>1.039/1.03-1</f>
        <v>8.7378640776698546E-3</v>
      </c>
      <c r="P16" s="303"/>
      <c r="Q16" s="319"/>
      <c r="R16" s="303"/>
      <c r="S16" s="303"/>
      <c r="T16" s="303"/>
    </row>
    <row r="17" spans="1:20">
      <c r="A17" s="47"/>
      <c r="B17" s="303"/>
      <c r="C17" s="303"/>
      <c r="D17" s="303"/>
      <c r="E17" s="303"/>
      <c r="F17" s="303"/>
      <c r="G17" s="303"/>
      <c r="H17" s="303"/>
      <c r="I17" s="303"/>
      <c r="J17" s="303"/>
      <c r="K17" s="303"/>
      <c r="L17" s="303"/>
      <c r="M17" s="303"/>
      <c r="N17" s="303"/>
      <c r="O17" s="303"/>
      <c r="P17" s="303"/>
      <c r="Q17" s="303"/>
      <c r="R17" s="303"/>
      <c r="S17" s="303"/>
      <c r="T17" s="303"/>
    </row>
    <row r="18" spans="1:20" ht="40.4" customHeight="1">
      <c r="A18" s="47" t="s">
        <v>323</v>
      </c>
      <c r="B18" s="510" t="str">
        <f>"Indicated Overall Change in Advisory Pure Premium Rates
[(3) x [(4) + 1.0] - 1.0]"</f>
        <v>Indicated Overall Change in Advisory Pure Premium Rates
[(3) x [(4) + 1.0] - 1.0]</v>
      </c>
      <c r="C18" s="510"/>
      <c r="D18" s="510"/>
      <c r="E18" s="510"/>
      <c r="F18" s="510"/>
      <c r="G18" s="510"/>
      <c r="H18" s="510"/>
      <c r="I18" s="538"/>
      <c r="J18" s="316"/>
      <c r="K18" s="317"/>
      <c r="L18" s="317"/>
      <c r="M18" s="317"/>
      <c r="N18" s="58"/>
      <c r="O18" s="320">
        <f ca="1">+ROUND(O14*(1+O16)-1,3)</f>
        <v>3.0000000000000001E-3</v>
      </c>
      <c r="P18" s="303"/>
      <c r="Q18" s="303"/>
      <c r="R18" s="303"/>
      <c r="S18" s="303"/>
      <c r="T18" s="303"/>
    </row>
    <row r="19" spans="1:20">
      <c r="A19" s="47"/>
      <c r="B19" s="247"/>
      <c r="C19" s="247"/>
      <c r="D19" s="247"/>
      <c r="E19" s="247"/>
      <c r="F19" s="247"/>
      <c r="G19" s="247"/>
      <c r="H19" s="247"/>
      <c r="I19" s="316"/>
      <c r="J19" s="316"/>
      <c r="K19" s="317"/>
      <c r="L19" s="317"/>
      <c r="M19" s="317"/>
      <c r="N19" s="58"/>
      <c r="O19" s="317"/>
      <c r="P19" s="303"/>
      <c r="Q19" s="303"/>
      <c r="R19" s="303"/>
      <c r="S19" s="303"/>
      <c r="T19" s="303"/>
    </row>
  </sheetData>
  <sheetProtection selectLockedCells="1"/>
  <mergeCells count="4">
    <mergeCell ref="B9:H9"/>
    <mergeCell ref="B18:I18"/>
    <mergeCell ref="B16:K16"/>
    <mergeCell ref="B14:K14"/>
  </mergeCells>
  <printOptions horizontalCentered="1"/>
  <pageMargins left="0.5" right="0.5" top="0.75" bottom="0.75" header="0.33" footer="0.33"/>
  <pageSetup scale="94" orientation="portrait" blackAndWhite="1" r:id="rId1"/>
  <headerFooter scaleWithDoc="0">
    <oddHeader>&amp;R&amp;"Arial,Regular"&amp;10Exhibit 8</oddHeader>
  </headerFooter>
  <ignoredErrors>
    <ignoredError sqref="B3:O3 B17:N17 B10:O10 C9:J9 I19:N19 J18:N18 O19 N9:O9 L9 A5:O8" unlockedFormula="1"/>
    <ignoredError sqref="A9:A10" numberStoredAsText="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35"/>
  <sheetViews>
    <sheetView zoomScaleNormal="100" zoomScaleSheetLayoutView="130" workbookViewId="0"/>
  </sheetViews>
  <sheetFormatPr defaultColWidth="9.1796875" defaultRowHeight="12.5"/>
  <cols>
    <col min="1" max="1" width="14" style="63" customWidth="1"/>
    <col min="2" max="17" width="7.81640625" style="63" customWidth="1"/>
    <col min="18" max="16384" width="9.1796875" style="63"/>
  </cols>
  <sheetData>
    <row r="1" spans="1:17" ht="13.4" customHeight="1">
      <c r="A1" s="137" t="s">
        <v>27</v>
      </c>
      <c r="B1" s="137"/>
      <c r="C1" s="137"/>
      <c r="D1" s="137"/>
      <c r="E1" s="137"/>
      <c r="F1" s="137"/>
      <c r="G1" s="137"/>
      <c r="H1" s="137"/>
      <c r="I1" s="137"/>
      <c r="J1" s="137"/>
      <c r="K1" s="137"/>
      <c r="L1" s="137"/>
      <c r="M1" s="137"/>
      <c r="N1" s="137"/>
      <c r="O1" s="137"/>
      <c r="P1" s="137"/>
      <c r="Q1" s="137"/>
    </row>
    <row r="2" spans="1:17" ht="13.4" customHeight="1">
      <c r="A2" s="61"/>
      <c r="B2" s="61"/>
      <c r="C2" s="61"/>
      <c r="D2" s="61"/>
      <c r="E2" s="61"/>
      <c r="F2" s="61"/>
      <c r="G2" s="61"/>
      <c r="H2" s="61"/>
      <c r="I2" s="61"/>
      <c r="J2" s="61"/>
      <c r="K2" s="61"/>
      <c r="L2" s="61"/>
      <c r="M2" s="61"/>
      <c r="N2" s="61"/>
      <c r="O2" s="61"/>
      <c r="P2" s="61"/>
      <c r="Q2" s="61"/>
    </row>
    <row r="3" spans="1:17" ht="13.4" customHeight="1">
      <c r="A3" s="62"/>
      <c r="B3" s="138" t="s">
        <v>284</v>
      </c>
      <c r="C3" s="138"/>
      <c r="D3" s="138"/>
      <c r="E3" s="138"/>
      <c r="F3" s="138"/>
      <c r="G3" s="138"/>
      <c r="H3" s="138"/>
      <c r="I3" s="138"/>
      <c r="J3" s="138"/>
      <c r="K3" s="138"/>
      <c r="L3" s="138"/>
      <c r="M3" s="138"/>
      <c r="N3" s="138"/>
      <c r="O3" s="138"/>
      <c r="P3" s="138"/>
      <c r="Q3" s="138"/>
    </row>
    <row r="4" spans="1:17" ht="13.4" customHeight="1">
      <c r="A4" s="6" t="s">
        <v>19</v>
      </c>
      <c r="B4" s="6" t="s">
        <v>507</v>
      </c>
      <c r="C4" s="6" t="s">
        <v>508</v>
      </c>
      <c r="D4" s="6" t="s">
        <v>509</v>
      </c>
      <c r="E4" s="6" t="s">
        <v>510</v>
      </c>
      <c r="F4" s="6" t="s">
        <v>511</v>
      </c>
      <c r="G4" s="6" t="s">
        <v>512</v>
      </c>
      <c r="H4" s="6" t="s">
        <v>513</v>
      </c>
      <c r="I4" s="6" t="s">
        <v>514</v>
      </c>
      <c r="J4" s="6" t="s">
        <v>515</v>
      </c>
      <c r="K4" s="6" t="s">
        <v>516</v>
      </c>
      <c r="L4" s="6" t="s">
        <v>517</v>
      </c>
      <c r="M4" s="6" t="s">
        <v>518</v>
      </c>
      <c r="N4" s="6" t="s">
        <v>519</v>
      </c>
      <c r="O4" s="6" t="s">
        <v>520</v>
      </c>
      <c r="P4" s="6" t="s">
        <v>521</v>
      </c>
      <c r="Q4" s="6" t="s">
        <v>522</v>
      </c>
    </row>
    <row r="5" spans="1:17" s="102" customFormat="1" ht="13.4" customHeight="1">
      <c r="A5" s="7">
        <f t="shared" ref="A5:A28" si="0">+A6-1</f>
        <v>1997</v>
      </c>
      <c r="B5" s="402" t="s">
        <v>34</v>
      </c>
      <c r="C5" s="402" t="s">
        <v>34</v>
      </c>
      <c r="D5" s="402" t="s">
        <v>34</v>
      </c>
      <c r="E5" s="402" t="s">
        <v>34</v>
      </c>
      <c r="F5" s="402" t="s">
        <v>34</v>
      </c>
      <c r="G5" s="402" t="s">
        <v>34</v>
      </c>
      <c r="H5" s="402" t="s">
        <v>34</v>
      </c>
      <c r="I5" s="402" t="s">
        <v>34</v>
      </c>
      <c r="J5" s="402" t="s">
        <v>34</v>
      </c>
      <c r="K5" s="402" t="s">
        <v>34</v>
      </c>
      <c r="L5" s="402" t="s">
        <v>34</v>
      </c>
      <c r="M5" s="402">
        <v>1.012</v>
      </c>
      <c r="N5" s="402">
        <v>1.0149999999999999</v>
      </c>
      <c r="O5" s="402">
        <v>1.012</v>
      </c>
      <c r="P5" s="402">
        <v>1.0029999999999999</v>
      </c>
      <c r="Q5" s="402">
        <v>1.0069999999999999</v>
      </c>
    </row>
    <row r="6" spans="1:17" ht="13.4" customHeight="1">
      <c r="A6" s="7">
        <f t="shared" si="0"/>
        <v>1998</v>
      </c>
      <c r="B6" s="402" t="s">
        <v>34</v>
      </c>
      <c r="C6" s="402" t="s">
        <v>34</v>
      </c>
      <c r="D6" s="402" t="s">
        <v>34</v>
      </c>
      <c r="E6" s="402" t="s">
        <v>34</v>
      </c>
      <c r="F6" s="402" t="s">
        <v>34</v>
      </c>
      <c r="G6" s="402" t="s">
        <v>34</v>
      </c>
      <c r="H6" s="402" t="s">
        <v>34</v>
      </c>
      <c r="I6" s="402" t="s">
        <v>34</v>
      </c>
      <c r="J6" s="402" t="s">
        <v>34</v>
      </c>
      <c r="K6" s="402" t="s">
        <v>34</v>
      </c>
      <c r="L6" s="402">
        <v>1.02</v>
      </c>
      <c r="M6" s="402">
        <v>1.0169999999999999</v>
      </c>
      <c r="N6" s="402">
        <v>1.004</v>
      </c>
      <c r="O6" s="402">
        <v>1.014</v>
      </c>
      <c r="P6" s="402">
        <v>1.008</v>
      </c>
      <c r="Q6" s="402">
        <v>1.012</v>
      </c>
    </row>
    <row r="7" spans="1:17" ht="13.4" customHeight="1">
      <c r="A7" s="7">
        <f t="shared" si="0"/>
        <v>1999</v>
      </c>
      <c r="B7" s="402" t="s">
        <v>34</v>
      </c>
      <c r="C7" s="402" t="s">
        <v>34</v>
      </c>
      <c r="D7" s="402" t="s">
        <v>34</v>
      </c>
      <c r="E7" s="402" t="s">
        <v>34</v>
      </c>
      <c r="F7" s="402" t="s">
        <v>34</v>
      </c>
      <c r="G7" s="402" t="s">
        <v>34</v>
      </c>
      <c r="H7" s="402" t="s">
        <v>34</v>
      </c>
      <c r="I7" s="402" t="s">
        <v>34</v>
      </c>
      <c r="J7" s="402" t="s">
        <v>34</v>
      </c>
      <c r="K7" s="402">
        <v>1.0189999999999999</v>
      </c>
      <c r="L7" s="402">
        <v>1.018</v>
      </c>
      <c r="M7" s="402">
        <v>1.0129999999999999</v>
      </c>
      <c r="N7" s="402">
        <v>1.0109999999999999</v>
      </c>
      <c r="O7" s="402">
        <v>1.0129999999999999</v>
      </c>
      <c r="P7" s="402">
        <v>1.0049999999999999</v>
      </c>
      <c r="Q7" s="402">
        <v>0.999</v>
      </c>
    </row>
    <row r="8" spans="1:17" ht="13.4" customHeight="1">
      <c r="A8" s="7">
        <f t="shared" si="0"/>
        <v>2000</v>
      </c>
      <c r="B8" s="402" t="s">
        <v>34</v>
      </c>
      <c r="C8" s="402" t="s">
        <v>34</v>
      </c>
      <c r="D8" s="402" t="s">
        <v>34</v>
      </c>
      <c r="E8" s="402" t="s">
        <v>34</v>
      </c>
      <c r="F8" s="402" t="s">
        <v>34</v>
      </c>
      <c r="G8" s="402" t="s">
        <v>34</v>
      </c>
      <c r="H8" s="402" t="s">
        <v>34</v>
      </c>
      <c r="I8" s="402" t="s">
        <v>34</v>
      </c>
      <c r="J8" s="402">
        <v>1.0169999999999999</v>
      </c>
      <c r="K8" s="402">
        <v>1.024</v>
      </c>
      <c r="L8" s="402">
        <v>1.018</v>
      </c>
      <c r="M8" s="402">
        <v>1.018</v>
      </c>
      <c r="N8" s="402">
        <v>1.012</v>
      </c>
      <c r="O8" s="402">
        <v>1.006</v>
      </c>
      <c r="P8" s="402">
        <v>0.999</v>
      </c>
      <c r="Q8" s="402">
        <v>0.995</v>
      </c>
    </row>
    <row r="9" spans="1:17" ht="13.4" customHeight="1">
      <c r="A9" s="7">
        <f t="shared" si="0"/>
        <v>2001</v>
      </c>
      <c r="B9" s="402" t="s">
        <v>34</v>
      </c>
      <c r="C9" s="402" t="s">
        <v>34</v>
      </c>
      <c r="D9" s="402" t="s">
        <v>34</v>
      </c>
      <c r="E9" s="402" t="s">
        <v>34</v>
      </c>
      <c r="F9" s="402" t="s">
        <v>34</v>
      </c>
      <c r="G9" s="402" t="s">
        <v>34</v>
      </c>
      <c r="H9" s="402" t="s">
        <v>34</v>
      </c>
      <c r="I9" s="402">
        <v>1.034</v>
      </c>
      <c r="J9" s="402">
        <v>1.0349999999999999</v>
      </c>
      <c r="K9" s="402">
        <v>1.022</v>
      </c>
      <c r="L9" s="402">
        <v>1.0169999999999999</v>
      </c>
      <c r="M9" s="402">
        <v>1.0149999999999999</v>
      </c>
      <c r="N9" s="402">
        <v>1.0129999999999999</v>
      </c>
      <c r="O9" s="402">
        <v>1.0009999999999999</v>
      </c>
      <c r="P9" s="402">
        <v>0.997</v>
      </c>
      <c r="Q9" s="402">
        <v>0.99399999999999999</v>
      </c>
    </row>
    <row r="10" spans="1:17" ht="13.4" customHeight="1">
      <c r="A10" s="7">
        <f t="shared" si="0"/>
        <v>2002</v>
      </c>
      <c r="B10" s="402" t="s">
        <v>34</v>
      </c>
      <c r="C10" s="402" t="s">
        <v>34</v>
      </c>
      <c r="D10" s="402" t="s">
        <v>34</v>
      </c>
      <c r="E10" s="402" t="s">
        <v>34</v>
      </c>
      <c r="F10" s="402" t="s">
        <v>34</v>
      </c>
      <c r="G10" s="402" t="s">
        <v>34</v>
      </c>
      <c r="H10" s="402">
        <v>1.036</v>
      </c>
      <c r="I10" s="402">
        <v>1.0289999999999999</v>
      </c>
      <c r="J10" s="402">
        <v>1.028</v>
      </c>
      <c r="K10" s="402">
        <v>1.022</v>
      </c>
      <c r="L10" s="402">
        <v>1.014</v>
      </c>
      <c r="M10" s="402">
        <v>1.01</v>
      </c>
      <c r="N10" s="402">
        <v>0.999</v>
      </c>
      <c r="O10" s="402">
        <v>0.997</v>
      </c>
      <c r="P10" s="402">
        <v>1</v>
      </c>
      <c r="Q10" s="402">
        <v>0.999</v>
      </c>
    </row>
    <row r="11" spans="1:17" ht="13.4" customHeight="1">
      <c r="A11" s="7">
        <f t="shared" si="0"/>
        <v>2003</v>
      </c>
      <c r="B11" s="402" t="s">
        <v>34</v>
      </c>
      <c r="C11" s="402" t="s">
        <v>34</v>
      </c>
      <c r="D11" s="402" t="s">
        <v>34</v>
      </c>
      <c r="E11" s="402" t="s">
        <v>34</v>
      </c>
      <c r="F11" s="402" t="s">
        <v>34</v>
      </c>
      <c r="G11" s="402">
        <v>1.042</v>
      </c>
      <c r="H11" s="402">
        <v>1.042</v>
      </c>
      <c r="I11" s="402">
        <v>1.0369999999999999</v>
      </c>
      <c r="J11" s="402">
        <v>1.0289999999999999</v>
      </c>
      <c r="K11" s="402">
        <v>1.018</v>
      </c>
      <c r="L11" s="402">
        <v>1.0109999999999999</v>
      </c>
      <c r="M11" s="402">
        <v>1.0029999999999999</v>
      </c>
      <c r="N11" s="402">
        <v>0.998</v>
      </c>
      <c r="O11" s="402">
        <v>0.999</v>
      </c>
      <c r="P11" s="402">
        <v>1.0009999999999999</v>
      </c>
      <c r="Q11" s="402">
        <v>1.006</v>
      </c>
    </row>
    <row r="12" spans="1:17" ht="13.4" customHeight="1">
      <c r="A12" s="7">
        <f t="shared" si="0"/>
        <v>2004</v>
      </c>
      <c r="B12" s="402" t="s">
        <v>34</v>
      </c>
      <c r="C12" s="402" t="s">
        <v>34</v>
      </c>
      <c r="D12" s="402" t="s">
        <v>34</v>
      </c>
      <c r="E12" s="402" t="s">
        <v>34</v>
      </c>
      <c r="F12" s="402">
        <v>1.06</v>
      </c>
      <c r="G12" s="402">
        <v>1.0609999999999999</v>
      </c>
      <c r="H12" s="402">
        <v>1.0429999999999999</v>
      </c>
      <c r="I12" s="402">
        <v>1.032</v>
      </c>
      <c r="J12" s="402">
        <v>1.026</v>
      </c>
      <c r="K12" s="402">
        <v>1.012</v>
      </c>
      <c r="L12" s="402">
        <v>1.006</v>
      </c>
      <c r="M12" s="402">
        <v>1.0009999999999999</v>
      </c>
      <c r="N12" s="402">
        <v>0.996</v>
      </c>
      <c r="O12" s="402">
        <v>0.998</v>
      </c>
      <c r="P12" s="402">
        <v>1.002</v>
      </c>
      <c r="Q12" s="402">
        <v>1</v>
      </c>
    </row>
    <row r="13" spans="1:17" ht="13.4" customHeight="1">
      <c r="A13" s="7">
        <f t="shared" si="0"/>
        <v>2005</v>
      </c>
      <c r="B13" s="402" t="s">
        <v>34</v>
      </c>
      <c r="C13" s="402" t="s">
        <v>34</v>
      </c>
      <c r="D13" s="402" t="s">
        <v>34</v>
      </c>
      <c r="E13" s="402">
        <v>1.0740000000000001</v>
      </c>
      <c r="F13" s="402">
        <v>1.0840000000000001</v>
      </c>
      <c r="G13" s="402">
        <v>1.0549999999999999</v>
      </c>
      <c r="H13" s="402">
        <v>1.0449999999999999</v>
      </c>
      <c r="I13" s="402">
        <v>1.032</v>
      </c>
      <c r="J13" s="402">
        <v>1.02</v>
      </c>
      <c r="K13" s="402">
        <v>1.006</v>
      </c>
      <c r="L13" s="402">
        <v>1.006</v>
      </c>
      <c r="M13" s="402">
        <v>0.999</v>
      </c>
      <c r="N13" s="402">
        <v>1</v>
      </c>
      <c r="O13" s="402">
        <v>1</v>
      </c>
      <c r="P13" s="402">
        <v>1</v>
      </c>
      <c r="Q13" s="402">
        <v>0.998</v>
      </c>
    </row>
    <row r="14" spans="1:17" ht="13.4" customHeight="1">
      <c r="A14" s="7">
        <f t="shared" si="0"/>
        <v>2006</v>
      </c>
      <c r="B14" s="402" t="s">
        <v>34</v>
      </c>
      <c r="C14" s="402" t="s">
        <v>34</v>
      </c>
      <c r="D14" s="402">
        <v>1.103</v>
      </c>
      <c r="E14" s="402">
        <v>1.081</v>
      </c>
      <c r="F14" s="402">
        <v>1.0660000000000001</v>
      </c>
      <c r="G14" s="402">
        <v>1.048</v>
      </c>
      <c r="H14" s="402">
        <v>1.04</v>
      </c>
      <c r="I14" s="402">
        <v>1.022</v>
      </c>
      <c r="J14" s="402">
        <v>1.012</v>
      </c>
      <c r="K14" s="402">
        <v>1</v>
      </c>
      <c r="L14" s="402">
        <v>1.0009999999999999</v>
      </c>
      <c r="M14" s="402">
        <v>1.006</v>
      </c>
      <c r="N14" s="402">
        <v>0.999</v>
      </c>
      <c r="O14" s="402">
        <v>1.0029999999999999</v>
      </c>
      <c r="P14" s="402">
        <v>1</v>
      </c>
      <c r="Q14" s="402">
        <v>1.0029999999999999</v>
      </c>
    </row>
    <row r="15" spans="1:17" ht="13.4" customHeight="1">
      <c r="A15" s="7">
        <f t="shared" si="0"/>
        <v>2007</v>
      </c>
      <c r="B15" s="402" t="s">
        <v>34</v>
      </c>
      <c r="C15" s="402">
        <v>1.204</v>
      </c>
      <c r="D15" s="402">
        <v>1.1240000000000001</v>
      </c>
      <c r="E15" s="402">
        <v>1.081</v>
      </c>
      <c r="F15" s="402">
        <v>1.07</v>
      </c>
      <c r="G15" s="402">
        <v>1.05</v>
      </c>
      <c r="H15" s="402">
        <v>1.032</v>
      </c>
      <c r="I15" s="402">
        <v>1.018</v>
      </c>
      <c r="J15" s="402">
        <v>1.004</v>
      </c>
      <c r="K15" s="402">
        <v>1.008</v>
      </c>
      <c r="L15" s="402">
        <v>1.0009999999999999</v>
      </c>
      <c r="M15" s="402">
        <v>1.004</v>
      </c>
      <c r="N15" s="402">
        <v>0.996</v>
      </c>
      <c r="O15" s="402">
        <v>0.999</v>
      </c>
      <c r="P15" s="402">
        <v>1</v>
      </c>
      <c r="Q15" s="402" t="s">
        <v>34</v>
      </c>
    </row>
    <row r="16" spans="1:17" ht="13.4" customHeight="1">
      <c r="A16" s="7">
        <f t="shared" si="0"/>
        <v>2008</v>
      </c>
      <c r="B16" s="402">
        <v>1.5269999999999999</v>
      </c>
      <c r="C16" s="402">
        <v>1.212</v>
      </c>
      <c r="D16" s="402">
        <v>1.129</v>
      </c>
      <c r="E16" s="402">
        <v>1.0920000000000001</v>
      </c>
      <c r="F16" s="402">
        <v>1.0609999999999999</v>
      </c>
      <c r="G16" s="402">
        <v>1.0409999999999999</v>
      </c>
      <c r="H16" s="402">
        <v>1.026</v>
      </c>
      <c r="I16" s="402">
        <v>1.01</v>
      </c>
      <c r="J16" s="402">
        <v>1.0049999999999999</v>
      </c>
      <c r="K16" s="402">
        <v>1.002</v>
      </c>
      <c r="L16" s="402">
        <v>1.0049999999999999</v>
      </c>
      <c r="M16" s="402">
        <v>0.999</v>
      </c>
      <c r="N16" s="402">
        <v>0.999</v>
      </c>
      <c r="O16" s="402">
        <v>1.0009999999999999</v>
      </c>
      <c r="P16" s="402" t="s">
        <v>34</v>
      </c>
      <c r="Q16" s="402" t="s">
        <v>34</v>
      </c>
    </row>
    <row r="17" spans="1:17" ht="13.4" customHeight="1">
      <c r="A17" s="7">
        <f t="shared" si="0"/>
        <v>2009</v>
      </c>
      <c r="B17" s="402">
        <v>1.6040000000000001</v>
      </c>
      <c r="C17" s="402">
        <v>1.2270000000000001</v>
      </c>
      <c r="D17" s="402">
        <v>1.1399999999999999</v>
      </c>
      <c r="E17" s="402">
        <v>1.087</v>
      </c>
      <c r="F17" s="402">
        <v>1.0609999999999999</v>
      </c>
      <c r="G17" s="402">
        <v>1.03</v>
      </c>
      <c r="H17" s="402">
        <v>1.016</v>
      </c>
      <c r="I17" s="402">
        <v>1.0069999999999999</v>
      </c>
      <c r="J17" s="402">
        <v>1.006</v>
      </c>
      <c r="K17" s="402">
        <v>1.008</v>
      </c>
      <c r="L17" s="402">
        <v>1.0009999999999999</v>
      </c>
      <c r="M17" s="402">
        <v>1.002</v>
      </c>
      <c r="N17" s="402">
        <v>1.0029999999999999</v>
      </c>
      <c r="O17" s="402" t="s">
        <v>34</v>
      </c>
      <c r="P17" s="402" t="s">
        <v>34</v>
      </c>
      <c r="Q17" s="402" t="s">
        <v>34</v>
      </c>
    </row>
    <row r="18" spans="1:17" ht="13.4" customHeight="1">
      <c r="A18" s="7">
        <f t="shared" si="0"/>
        <v>2010</v>
      </c>
      <c r="B18" s="402">
        <v>1.62</v>
      </c>
      <c r="C18" s="402">
        <v>1.2450000000000001</v>
      </c>
      <c r="D18" s="402">
        <v>1.1339999999999999</v>
      </c>
      <c r="E18" s="402">
        <v>1.077</v>
      </c>
      <c r="F18" s="402">
        <v>1.0449999999999999</v>
      </c>
      <c r="G18" s="402">
        <v>1.0249999999999999</v>
      </c>
      <c r="H18" s="402">
        <v>1.012</v>
      </c>
      <c r="I18" s="402">
        <v>1.008</v>
      </c>
      <c r="J18" s="402">
        <v>1.01</v>
      </c>
      <c r="K18" s="402">
        <v>1.0049999999999999</v>
      </c>
      <c r="L18" s="402">
        <v>0.999</v>
      </c>
      <c r="M18" s="402">
        <v>1.002</v>
      </c>
      <c r="N18" s="402" t="s">
        <v>34</v>
      </c>
      <c r="O18" s="402" t="s">
        <v>34</v>
      </c>
      <c r="P18" s="402" t="s">
        <v>34</v>
      </c>
      <c r="Q18" s="402" t="s">
        <v>34</v>
      </c>
    </row>
    <row r="19" spans="1:17" ht="13.4" customHeight="1">
      <c r="A19" s="7">
        <f t="shared" si="0"/>
        <v>2011</v>
      </c>
      <c r="B19" s="402">
        <v>1.667</v>
      </c>
      <c r="C19" s="402">
        <v>1.222</v>
      </c>
      <c r="D19" s="402">
        <v>1.125</v>
      </c>
      <c r="E19" s="402">
        <v>1.069</v>
      </c>
      <c r="F19" s="402">
        <v>1.034</v>
      </c>
      <c r="G19" s="402">
        <v>1.016</v>
      </c>
      <c r="H19" s="402">
        <v>1.01</v>
      </c>
      <c r="I19" s="402">
        <v>1.01</v>
      </c>
      <c r="J19" s="402">
        <v>1.002</v>
      </c>
      <c r="K19" s="402">
        <v>1.004</v>
      </c>
      <c r="L19" s="402">
        <v>1.0029999999999999</v>
      </c>
      <c r="M19" s="402" t="s">
        <v>34</v>
      </c>
      <c r="N19" s="402" t="s">
        <v>34</v>
      </c>
      <c r="O19" s="402" t="s">
        <v>34</v>
      </c>
      <c r="P19" s="402" t="s">
        <v>34</v>
      </c>
      <c r="Q19" s="402" t="s">
        <v>34</v>
      </c>
    </row>
    <row r="20" spans="1:17" ht="13.4" customHeight="1">
      <c r="A20" s="7">
        <f t="shared" si="0"/>
        <v>2012</v>
      </c>
      <c r="B20" s="402">
        <v>1.5920000000000001</v>
      </c>
      <c r="C20" s="402">
        <v>1.1879999999999999</v>
      </c>
      <c r="D20" s="402">
        <v>1.0920000000000001</v>
      </c>
      <c r="E20" s="402">
        <v>1.056</v>
      </c>
      <c r="F20" s="402">
        <v>1.0309999999999999</v>
      </c>
      <c r="G20" s="402">
        <v>1.0149999999999999</v>
      </c>
      <c r="H20" s="402">
        <v>1.0149999999999999</v>
      </c>
      <c r="I20" s="402">
        <v>1.006</v>
      </c>
      <c r="J20" s="402">
        <v>1.0049999999999999</v>
      </c>
      <c r="K20" s="402">
        <v>0.999</v>
      </c>
      <c r="L20" s="402" t="s">
        <v>34</v>
      </c>
      <c r="M20" s="402" t="s">
        <v>34</v>
      </c>
      <c r="N20" s="402" t="s">
        <v>34</v>
      </c>
      <c r="O20" s="402" t="s">
        <v>34</v>
      </c>
      <c r="P20" s="402" t="s">
        <v>34</v>
      </c>
      <c r="Q20" s="402" t="s">
        <v>34</v>
      </c>
    </row>
    <row r="21" spans="1:17" ht="13.4" customHeight="1">
      <c r="A21" s="7">
        <f t="shared" si="0"/>
        <v>2013</v>
      </c>
      <c r="B21" s="402">
        <v>1.5589999999999999</v>
      </c>
      <c r="C21" s="402">
        <v>1.1499999999999999</v>
      </c>
      <c r="D21" s="402">
        <v>1.0860000000000001</v>
      </c>
      <c r="E21" s="402">
        <v>1.0389999999999999</v>
      </c>
      <c r="F21" s="402">
        <v>1.022</v>
      </c>
      <c r="G21" s="402">
        <v>1.014</v>
      </c>
      <c r="H21" s="402">
        <v>1.006</v>
      </c>
      <c r="I21" s="402">
        <v>1.0009999999999999</v>
      </c>
      <c r="J21" s="402">
        <v>1.006</v>
      </c>
      <c r="K21" s="402" t="s">
        <v>34</v>
      </c>
      <c r="L21" s="402" t="s">
        <v>34</v>
      </c>
      <c r="M21" s="402" t="s">
        <v>34</v>
      </c>
      <c r="N21" s="402" t="s">
        <v>34</v>
      </c>
      <c r="O21" s="402" t="s">
        <v>34</v>
      </c>
      <c r="P21" s="402" t="s">
        <v>34</v>
      </c>
      <c r="Q21" s="402" t="s">
        <v>34</v>
      </c>
    </row>
    <row r="22" spans="1:17" ht="13.4" customHeight="1">
      <c r="A22" s="7">
        <f t="shared" si="0"/>
        <v>2014</v>
      </c>
      <c r="B22" s="402">
        <v>1.5229999999999999</v>
      </c>
      <c r="C22" s="402">
        <v>1.159</v>
      </c>
      <c r="D22" s="402">
        <v>1.079</v>
      </c>
      <c r="E22" s="402">
        <v>1.0349999999999999</v>
      </c>
      <c r="F22" s="402">
        <v>1.0269999999999999</v>
      </c>
      <c r="G22" s="402">
        <v>1.0109999999999999</v>
      </c>
      <c r="H22" s="402">
        <v>1.01</v>
      </c>
      <c r="I22" s="402">
        <v>1.0069999999999999</v>
      </c>
      <c r="J22" s="402" t="s">
        <v>34</v>
      </c>
      <c r="K22" s="402" t="s">
        <v>34</v>
      </c>
      <c r="L22" s="402" t="s">
        <v>34</v>
      </c>
      <c r="M22" s="402" t="s">
        <v>34</v>
      </c>
      <c r="N22" s="402" t="s">
        <v>34</v>
      </c>
      <c r="O22" s="402" t="s">
        <v>34</v>
      </c>
      <c r="P22" s="402" t="s">
        <v>34</v>
      </c>
      <c r="Q22" s="402" t="s">
        <v>34</v>
      </c>
    </row>
    <row r="23" spans="1:17" ht="13.4" customHeight="1">
      <c r="A23" s="7">
        <f t="shared" si="0"/>
        <v>2015</v>
      </c>
      <c r="B23" s="402">
        <v>1.5109999999999999</v>
      </c>
      <c r="C23" s="402">
        <v>1.1459999999999999</v>
      </c>
      <c r="D23" s="402">
        <v>1.0640000000000001</v>
      </c>
      <c r="E23" s="402">
        <v>1.03</v>
      </c>
      <c r="F23" s="402">
        <v>1.018</v>
      </c>
      <c r="G23" s="402">
        <v>1.0069999999999999</v>
      </c>
      <c r="H23" s="402">
        <v>1.0049999999999999</v>
      </c>
      <c r="I23" s="402" t="s">
        <v>34</v>
      </c>
      <c r="J23" s="402" t="s">
        <v>34</v>
      </c>
      <c r="K23" s="402" t="s">
        <v>34</v>
      </c>
      <c r="L23" s="402" t="s">
        <v>34</v>
      </c>
      <c r="M23" s="402" t="s">
        <v>34</v>
      </c>
      <c r="N23" s="402" t="s">
        <v>34</v>
      </c>
      <c r="O23" s="402" t="s">
        <v>34</v>
      </c>
      <c r="P23" s="402" t="s">
        <v>34</v>
      </c>
      <c r="Q23" s="402" t="s">
        <v>34</v>
      </c>
    </row>
    <row r="24" spans="1:17" ht="13.4" customHeight="1">
      <c r="A24" s="7">
        <f t="shared" si="0"/>
        <v>2016</v>
      </c>
      <c r="B24" s="402">
        <v>1.498</v>
      </c>
      <c r="C24" s="402">
        <v>1.1240000000000001</v>
      </c>
      <c r="D24" s="402">
        <v>1.0449999999999999</v>
      </c>
      <c r="E24" s="402">
        <v>1.0309999999999999</v>
      </c>
      <c r="F24" s="402">
        <v>1.0169999999999999</v>
      </c>
      <c r="G24" s="402">
        <v>1.0129999999999999</v>
      </c>
      <c r="H24" s="402" t="s">
        <v>34</v>
      </c>
      <c r="I24" s="402" t="s">
        <v>34</v>
      </c>
      <c r="J24" s="402" t="s">
        <v>34</v>
      </c>
      <c r="K24" s="402" t="s">
        <v>34</v>
      </c>
      <c r="L24" s="402" t="s">
        <v>34</v>
      </c>
      <c r="M24" s="402" t="s">
        <v>34</v>
      </c>
      <c r="N24" s="402" t="s">
        <v>34</v>
      </c>
      <c r="O24" s="402" t="s">
        <v>34</v>
      </c>
      <c r="P24" s="402" t="s">
        <v>34</v>
      </c>
      <c r="Q24" s="402" t="s">
        <v>34</v>
      </c>
    </row>
    <row r="25" spans="1:17" ht="13.4" customHeight="1">
      <c r="A25" s="7">
        <f t="shared" si="0"/>
        <v>2017</v>
      </c>
      <c r="B25" s="402">
        <v>1.44</v>
      </c>
      <c r="C25" s="402">
        <v>1.117</v>
      </c>
      <c r="D25" s="402">
        <v>1.0509999999999999</v>
      </c>
      <c r="E25" s="402">
        <v>1.0269999999999999</v>
      </c>
      <c r="F25" s="402">
        <v>1.0249999999999999</v>
      </c>
      <c r="G25" s="402" t="s">
        <v>34</v>
      </c>
      <c r="H25" s="402" t="s">
        <v>34</v>
      </c>
      <c r="I25" s="402" t="s">
        <v>34</v>
      </c>
      <c r="J25" s="402" t="s">
        <v>34</v>
      </c>
      <c r="K25" s="402" t="s">
        <v>34</v>
      </c>
      <c r="L25" s="402" t="s">
        <v>34</v>
      </c>
      <c r="M25" s="402" t="s">
        <v>34</v>
      </c>
      <c r="N25" s="402" t="s">
        <v>34</v>
      </c>
      <c r="O25" s="402" t="s">
        <v>34</v>
      </c>
      <c r="P25" s="402" t="s">
        <v>34</v>
      </c>
      <c r="Q25" s="402" t="s">
        <v>34</v>
      </c>
    </row>
    <row r="26" spans="1:17" ht="13.4" customHeight="1">
      <c r="A26" s="7">
        <f t="shared" si="0"/>
        <v>2018</v>
      </c>
      <c r="B26" s="402">
        <v>1.4490000000000001</v>
      </c>
      <c r="C26" s="402">
        <v>1.1100000000000001</v>
      </c>
      <c r="D26" s="402">
        <v>1.054</v>
      </c>
      <c r="E26" s="402">
        <v>1.032</v>
      </c>
      <c r="F26" s="402" t="s">
        <v>34</v>
      </c>
      <c r="G26" s="402" t="s">
        <v>34</v>
      </c>
      <c r="H26" s="402" t="s">
        <v>34</v>
      </c>
      <c r="I26" s="402" t="s">
        <v>34</v>
      </c>
      <c r="J26" s="402" t="s">
        <v>34</v>
      </c>
      <c r="K26" s="402" t="s">
        <v>34</v>
      </c>
      <c r="L26" s="402" t="s">
        <v>34</v>
      </c>
      <c r="M26" s="402" t="s">
        <v>34</v>
      </c>
      <c r="N26" s="402" t="s">
        <v>34</v>
      </c>
      <c r="O26" s="402" t="s">
        <v>34</v>
      </c>
      <c r="P26" s="402" t="s">
        <v>34</v>
      </c>
      <c r="Q26" s="402" t="s">
        <v>34</v>
      </c>
    </row>
    <row r="27" spans="1:17" ht="13.4" customHeight="1">
      <c r="A27" s="7">
        <f t="shared" si="0"/>
        <v>2019</v>
      </c>
      <c r="B27" s="402">
        <v>1.452</v>
      </c>
      <c r="C27" s="402">
        <v>1.1240000000000001</v>
      </c>
      <c r="D27" s="402">
        <v>1.0649999999999999</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row>
    <row r="28" spans="1:17" ht="13.4" customHeight="1">
      <c r="A28" s="7">
        <f t="shared" si="0"/>
        <v>2020</v>
      </c>
      <c r="B28" s="402">
        <v>1.4450000000000001</v>
      </c>
      <c r="C28" s="402">
        <v>1.1539999999999999</v>
      </c>
      <c r="D28" s="402" t="s">
        <v>34</v>
      </c>
      <c r="E28" s="402" t="s">
        <v>34</v>
      </c>
      <c r="F28" s="402" t="s">
        <v>34</v>
      </c>
      <c r="G28" s="402" t="s">
        <v>34</v>
      </c>
      <c r="H28" s="402" t="s">
        <v>34</v>
      </c>
      <c r="I28" s="402" t="s">
        <v>34</v>
      </c>
      <c r="J28" s="402" t="s">
        <v>34</v>
      </c>
      <c r="K28" s="402" t="s">
        <v>34</v>
      </c>
      <c r="L28" s="402" t="s">
        <v>34</v>
      </c>
      <c r="M28" s="402" t="s">
        <v>34</v>
      </c>
      <c r="N28" s="402" t="s">
        <v>34</v>
      </c>
      <c r="O28" s="402" t="s">
        <v>34</v>
      </c>
      <c r="P28" s="402" t="s">
        <v>34</v>
      </c>
      <c r="Q28" s="402" t="s">
        <v>34</v>
      </c>
    </row>
    <row r="29" spans="1:17" ht="13.4" customHeight="1">
      <c r="A29" s="7">
        <f>'Exhibit 2.1.1'!A30</f>
        <v>2021</v>
      </c>
      <c r="B29" s="402">
        <v>1.4630000000000001</v>
      </c>
      <c r="C29" s="402" t="s">
        <v>34</v>
      </c>
      <c r="D29" s="402" t="s">
        <v>34</v>
      </c>
      <c r="E29" s="402" t="s">
        <v>34</v>
      </c>
      <c r="F29" s="402" t="s">
        <v>34</v>
      </c>
      <c r="G29" s="402" t="s">
        <v>34</v>
      </c>
      <c r="H29" s="402" t="s">
        <v>34</v>
      </c>
      <c r="I29" s="402" t="s">
        <v>34</v>
      </c>
      <c r="J29" s="402" t="s">
        <v>34</v>
      </c>
      <c r="K29" s="402" t="s">
        <v>34</v>
      </c>
      <c r="L29" s="402" t="s">
        <v>34</v>
      </c>
      <c r="M29" s="402" t="s">
        <v>34</v>
      </c>
      <c r="N29" s="402" t="s">
        <v>34</v>
      </c>
      <c r="O29" s="402" t="s">
        <v>34</v>
      </c>
      <c r="P29" s="402" t="s">
        <v>34</v>
      </c>
      <c r="Q29" s="402" t="s">
        <v>34</v>
      </c>
    </row>
    <row r="30" spans="1:17" ht="13.4" customHeight="1">
      <c r="A30" s="7"/>
      <c r="B30" s="8"/>
      <c r="C30" s="8"/>
      <c r="D30" s="8"/>
      <c r="E30" s="8"/>
      <c r="F30" s="8"/>
      <c r="G30" s="8"/>
      <c r="H30" s="8"/>
      <c r="I30" s="8"/>
      <c r="J30" s="8"/>
      <c r="K30" s="8"/>
      <c r="L30" s="8"/>
      <c r="M30" s="8"/>
      <c r="N30" s="8"/>
      <c r="O30" s="8"/>
      <c r="P30" s="8"/>
      <c r="Q30" s="8"/>
    </row>
    <row r="31" spans="1:17" ht="13.4" customHeight="1">
      <c r="A31" s="7" t="s">
        <v>20</v>
      </c>
      <c r="B31" s="403">
        <f>ROUND(B29,3)</f>
        <v>1.4630000000000001</v>
      </c>
      <c r="C31" s="403">
        <f>ROUND(C28,3)</f>
        <v>1.1539999999999999</v>
      </c>
      <c r="D31" s="403">
        <f>ROUND(D27,3)</f>
        <v>1.0649999999999999</v>
      </c>
      <c r="E31" s="403">
        <f>ROUND(E26,3)</f>
        <v>1.032</v>
      </c>
      <c r="F31" s="403">
        <f>ROUND(F25,3)</f>
        <v>1.0249999999999999</v>
      </c>
      <c r="G31" s="403">
        <f>ROUND(G24,3)</f>
        <v>1.0129999999999999</v>
      </c>
      <c r="H31" s="403">
        <f>ROUND(H23,3)</f>
        <v>1.0049999999999999</v>
      </c>
      <c r="I31" s="403">
        <f>ROUND(I22,3)</f>
        <v>1.0069999999999999</v>
      </c>
      <c r="J31" s="403">
        <f>AVERAGE(J16:J21)</f>
        <v>1.0056666666666667</v>
      </c>
      <c r="K31" s="403">
        <f>AVERAGE(K15:K20)</f>
        <v>1.0043333333333331</v>
      </c>
      <c r="L31" s="403">
        <f>AVERAGE(L14:L19)</f>
        <v>1.0016666666666665</v>
      </c>
      <c r="M31" s="403">
        <f>AVERAGE(M13:M18)</f>
        <v>1.002</v>
      </c>
      <c r="N31" s="403">
        <f>AVERAGE(N12:N17)</f>
        <v>0.99883333333333335</v>
      </c>
      <c r="O31" s="403">
        <f>AVERAGE(O11:O16)</f>
        <v>1</v>
      </c>
      <c r="P31" s="403">
        <f>AVERAGE(P10:P15)</f>
        <v>1.0004999999999999</v>
      </c>
      <c r="Q31" s="403">
        <f>AVERAGE(Q9:Q14)</f>
        <v>1</v>
      </c>
    </row>
    <row r="32" spans="1:17" ht="13.4" customHeight="1">
      <c r="A32" s="7" t="s">
        <v>21</v>
      </c>
      <c r="B32" s="403">
        <f t="shared" ref="B32:O32" si="1">C32*B31</f>
        <v>1.9619938471060068</v>
      </c>
      <c r="C32" s="403">
        <f t="shared" si="1"/>
        <v>1.3410757669897517</v>
      </c>
      <c r="D32" s="403">
        <f t="shared" si="1"/>
        <v>1.1621107166289011</v>
      </c>
      <c r="E32" s="403">
        <f t="shared" si="1"/>
        <v>1.0911837714825363</v>
      </c>
      <c r="F32" s="403">
        <f t="shared" si="1"/>
        <v>1.0573486157776515</v>
      </c>
      <c r="G32" s="403">
        <f t="shared" si="1"/>
        <v>1.0315596251489283</v>
      </c>
      <c r="H32" s="403">
        <f t="shared" si="1"/>
        <v>1.018321446346425</v>
      </c>
      <c r="I32" s="403">
        <f t="shared" si="1"/>
        <v>1.0132551704939552</v>
      </c>
      <c r="J32" s="403">
        <f t="shared" si="1"/>
        <v>1.0062116886732426</v>
      </c>
      <c r="K32" s="403">
        <f t="shared" si="1"/>
        <v>1.0005419509511859</v>
      </c>
      <c r="L32" s="403">
        <f t="shared" si="1"/>
        <v>0.99622497605494809</v>
      </c>
      <c r="M32" s="403">
        <f t="shared" si="1"/>
        <v>0.9945673637819783</v>
      </c>
      <c r="N32" s="403">
        <f t="shared" si="1"/>
        <v>0.99258219938321191</v>
      </c>
      <c r="O32" s="403">
        <f t="shared" si="1"/>
        <v>0.99374156454184404</v>
      </c>
      <c r="P32" s="403">
        <f>Q32*P31</f>
        <v>0.99374156454184404</v>
      </c>
      <c r="Q32" s="403">
        <f>'Exhibit 2.2.2'!B31*Q31</f>
        <v>0.99324494207080871</v>
      </c>
    </row>
    <row r="33" spans="1:16" ht="13.4" customHeight="1">
      <c r="A33" s="62"/>
      <c r="B33" s="62"/>
      <c r="C33" s="62"/>
      <c r="D33" s="62"/>
      <c r="E33" s="62"/>
      <c r="F33" s="62"/>
      <c r="G33" s="62"/>
      <c r="H33" s="62"/>
      <c r="I33" s="62"/>
      <c r="J33" s="62"/>
      <c r="K33" s="62"/>
      <c r="L33" s="62"/>
      <c r="M33" s="62"/>
      <c r="N33" s="62"/>
      <c r="O33" s="62"/>
      <c r="P33" s="62"/>
    </row>
    <row r="34" spans="1:16" ht="13.4" customHeight="1">
      <c r="A34" s="10" t="s">
        <v>22</v>
      </c>
      <c r="B34" s="77" t="s">
        <v>481</v>
      </c>
      <c r="C34" s="74"/>
      <c r="D34" s="74"/>
      <c r="E34" s="74"/>
      <c r="F34" s="74"/>
      <c r="G34" s="74"/>
      <c r="H34" s="74"/>
      <c r="I34" s="74"/>
      <c r="J34" s="74"/>
      <c r="K34" s="74"/>
      <c r="L34" s="74"/>
      <c r="M34" s="74"/>
      <c r="N34" s="74"/>
      <c r="O34" s="74"/>
      <c r="P34" s="74"/>
    </row>
    <row r="35" spans="1:16">
      <c r="A35" s="10" t="s">
        <v>28</v>
      </c>
      <c r="B35" s="75" t="s">
        <v>279</v>
      </c>
      <c r="C35" s="76"/>
      <c r="D35" s="76"/>
      <c r="E35" s="76"/>
      <c r="F35" s="76"/>
      <c r="G35" s="76"/>
      <c r="H35" s="76"/>
      <c r="I35" s="76"/>
      <c r="J35" s="76"/>
      <c r="K35" s="76"/>
      <c r="L35" s="76"/>
      <c r="M35" s="76"/>
      <c r="N35" s="76"/>
      <c r="O35" s="76"/>
      <c r="P35" s="76"/>
    </row>
  </sheetData>
  <pageMargins left="0.7" right="0.7" top="0.75" bottom="0.75" header="0.3" footer="0.3"/>
  <pageSetup scale="88" orientation="landscape" blackAndWhite="1"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W33"/>
  <sheetViews>
    <sheetView zoomScaleNormal="100" zoomScaleSheetLayoutView="130" workbookViewId="0"/>
  </sheetViews>
  <sheetFormatPr defaultColWidth="9.1796875" defaultRowHeight="12.5"/>
  <cols>
    <col min="1" max="1" width="13.1796875" style="56" customWidth="1"/>
    <col min="2" max="22" width="7.81640625" style="56" customWidth="1"/>
    <col min="23" max="23" width="13.1796875" style="57" bestFit="1" customWidth="1"/>
    <col min="24" max="16384" width="9.1796875" style="56"/>
  </cols>
  <sheetData>
    <row r="1" spans="1:23" ht="15" customHeight="1">
      <c r="A1" s="220" t="s">
        <v>29</v>
      </c>
      <c r="B1" s="220"/>
      <c r="C1" s="220"/>
      <c r="D1" s="220"/>
      <c r="E1" s="220"/>
      <c r="F1" s="220"/>
      <c r="G1" s="220"/>
      <c r="H1" s="220"/>
      <c r="I1" s="220"/>
      <c r="J1" s="220"/>
      <c r="K1" s="220"/>
      <c r="L1" s="220"/>
      <c r="M1" s="220"/>
      <c r="N1" s="220"/>
      <c r="O1" s="220"/>
      <c r="P1" s="220"/>
      <c r="Q1" s="220"/>
      <c r="R1" s="220"/>
      <c r="S1" s="220"/>
      <c r="T1" s="220"/>
      <c r="U1" s="220"/>
      <c r="V1" s="220"/>
      <c r="W1" s="356"/>
    </row>
    <row r="2" spans="1:23" ht="13">
      <c r="A2" s="128"/>
      <c r="B2" s="128"/>
      <c r="C2" s="128"/>
      <c r="D2" s="128"/>
      <c r="E2" s="128"/>
      <c r="F2" s="128"/>
      <c r="G2" s="128"/>
      <c r="H2" s="128"/>
      <c r="I2" s="128"/>
      <c r="J2" s="128"/>
      <c r="K2" s="128"/>
      <c r="L2" s="128"/>
      <c r="M2" s="128"/>
      <c r="N2" s="128"/>
      <c r="O2" s="128"/>
      <c r="P2" s="128"/>
      <c r="Q2" s="128"/>
      <c r="R2" s="128"/>
      <c r="S2" s="128"/>
      <c r="T2" s="128"/>
      <c r="U2" s="128"/>
      <c r="V2" s="128"/>
    </row>
    <row r="3" spans="1:23">
      <c r="A3" s="343"/>
      <c r="B3" s="212" t="s">
        <v>18</v>
      </c>
      <c r="C3" s="212"/>
      <c r="D3" s="212"/>
      <c r="E3" s="212"/>
      <c r="F3" s="212"/>
      <c r="G3" s="212"/>
      <c r="H3" s="212"/>
      <c r="I3" s="212"/>
      <c r="J3" s="212"/>
      <c r="K3" s="212"/>
      <c r="L3" s="212"/>
      <c r="M3" s="212"/>
      <c r="N3" s="212"/>
      <c r="O3" s="212"/>
      <c r="P3" s="212"/>
      <c r="Q3" s="212"/>
      <c r="R3" s="212"/>
      <c r="S3" s="212"/>
      <c r="T3" s="212"/>
      <c r="U3" s="212"/>
      <c r="V3" s="212"/>
      <c r="W3" s="357"/>
    </row>
    <row r="4" spans="1:23">
      <c r="A4" s="216" t="s">
        <v>19</v>
      </c>
      <c r="B4" s="216" t="s">
        <v>523</v>
      </c>
      <c r="C4" s="216" t="s">
        <v>524</v>
      </c>
      <c r="D4" s="216" t="s">
        <v>525</v>
      </c>
      <c r="E4" s="216" t="s">
        <v>526</v>
      </c>
      <c r="F4" s="216" t="s">
        <v>527</v>
      </c>
      <c r="G4" s="216" t="s">
        <v>528</v>
      </c>
      <c r="H4" s="216" t="s">
        <v>529</v>
      </c>
      <c r="I4" s="216" t="s">
        <v>530</v>
      </c>
      <c r="J4" s="216" t="s">
        <v>531</v>
      </c>
      <c r="K4" s="216" t="s">
        <v>532</v>
      </c>
      <c r="L4" s="216" t="s">
        <v>533</v>
      </c>
      <c r="M4" s="216" t="s">
        <v>534</v>
      </c>
      <c r="N4" s="216" t="s">
        <v>535</v>
      </c>
      <c r="O4" s="216" t="s">
        <v>536</v>
      </c>
      <c r="P4" s="216" t="s">
        <v>537</v>
      </c>
      <c r="Q4" s="216" t="s">
        <v>538</v>
      </c>
      <c r="R4" s="216" t="s">
        <v>539</v>
      </c>
      <c r="S4" s="216" t="s">
        <v>540</v>
      </c>
      <c r="T4" s="216" t="s">
        <v>541</v>
      </c>
      <c r="U4" s="216" t="s">
        <v>542</v>
      </c>
      <c r="V4" s="216" t="s">
        <v>543</v>
      </c>
      <c r="W4" s="216" t="s">
        <v>545</v>
      </c>
    </row>
    <row r="5" spans="1:23">
      <c r="A5" s="213">
        <f t="shared" ref="A5:A26" si="0">+A6-1</f>
        <v>1983</v>
      </c>
      <c r="B5" s="402" t="s">
        <v>34</v>
      </c>
      <c r="C5" s="402" t="s">
        <v>34</v>
      </c>
      <c r="D5" s="402" t="s">
        <v>34</v>
      </c>
      <c r="E5" s="402" t="s">
        <v>34</v>
      </c>
      <c r="F5" s="402" t="s">
        <v>34</v>
      </c>
      <c r="G5" s="402" t="s">
        <v>34</v>
      </c>
      <c r="H5" s="402" t="s">
        <v>34</v>
      </c>
      <c r="I5" s="402" t="s">
        <v>34</v>
      </c>
      <c r="J5" s="402" t="s">
        <v>34</v>
      </c>
      <c r="K5" s="402">
        <v>1.004</v>
      </c>
      <c r="L5" s="402">
        <v>1.002</v>
      </c>
      <c r="M5" s="402">
        <v>1.006</v>
      </c>
      <c r="N5" s="402">
        <v>1.0029999999999999</v>
      </c>
      <c r="O5" s="402">
        <v>1.004</v>
      </c>
      <c r="P5" s="402">
        <v>1.0029999999999999</v>
      </c>
      <c r="Q5" s="402">
        <v>0.997</v>
      </c>
      <c r="R5" s="402">
        <v>0.999</v>
      </c>
      <c r="S5" s="402">
        <v>0.998</v>
      </c>
      <c r="T5" s="402">
        <v>1.0009999999999999</v>
      </c>
      <c r="U5" s="402">
        <v>1.0009999999999999</v>
      </c>
      <c r="V5" s="402">
        <v>1.0009999999999999</v>
      </c>
      <c r="W5" s="402"/>
    </row>
    <row r="6" spans="1:23">
      <c r="A6" s="213">
        <f t="shared" si="0"/>
        <v>1984</v>
      </c>
      <c r="B6" s="402" t="s">
        <v>34</v>
      </c>
      <c r="C6" s="402" t="s">
        <v>34</v>
      </c>
      <c r="D6" s="402" t="s">
        <v>34</v>
      </c>
      <c r="E6" s="402" t="s">
        <v>34</v>
      </c>
      <c r="F6" s="402" t="s">
        <v>34</v>
      </c>
      <c r="G6" s="402" t="s">
        <v>34</v>
      </c>
      <c r="H6" s="402" t="s">
        <v>34</v>
      </c>
      <c r="I6" s="402" t="s">
        <v>34</v>
      </c>
      <c r="J6" s="402">
        <v>1.0029999999999999</v>
      </c>
      <c r="K6" s="402">
        <v>1.002</v>
      </c>
      <c r="L6" s="402">
        <v>1.0029999999999999</v>
      </c>
      <c r="M6" s="402">
        <v>1.0009999999999999</v>
      </c>
      <c r="N6" s="402">
        <v>1.0029999999999999</v>
      </c>
      <c r="O6" s="402">
        <v>1.0009999999999999</v>
      </c>
      <c r="P6" s="402">
        <v>0.997</v>
      </c>
      <c r="Q6" s="402">
        <v>1</v>
      </c>
      <c r="R6" s="402">
        <v>1.0009999999999999</v>
      </c>
      <c r="S6" s="402">
        <v>1</v>
      </c>
      <c r="T6" s="402">
        <v>1</v>
      </c>
      <c r="U6" s="402">
        <v>0.998</v>
      </c>
      <c r="V6" s="402">
        <v>1</v>
      </c>
      <c r="W6" s="402"/>
    </row>
    <row r="7" spans="1:23">
      <c r="A7" s="213">
        <f t="shared" si="0"/>
        <v>1985</v>
      </c>
      <c r="B7" s="402" t="s">
        <v>34</v>
      </c>
      <c r="C7" s="402" t="s">
        <v>34</v>
      </c>
      <c r="D7" s="402" t="s">
        <v>34</v>
      </c>
      <c r="E7" s="402" t="s">
        <v>34</v>
      </c>
      <c r="F7" s="402" t="s">
        <v>34</v>
      </c>
      <c r="G7" s="402" t="s">
        <v>34</v>
      </c>
      <c r="H7" s="402" t="s">
        <v>34</v>
      </c>
      <c r="I7" s="402">
        <v>1.0029999999999999</v>
      </c>
      <c r="J7" s="402">
        <v>1.0029999999999999</v>
      </c>
      <c r="K7" s="402">
        <v>1.0029999999999999</v>
      </c>
      <c r="L7" s="402">
        <v>1.0049999999999999</v>
      </c>
      <c r="M7" s="402">
        <v>1.002</v>
      </c>
      <c r="N7" s="402">
        <v>1.0029999999999999</v>
      </c>
      <c r="O7" s="402">
        <v>0.998</v>
      </c>
      <c r="P7" s="402">
        <v>0.999</v>
      </c>
      <c r="Q7" s="402">
        <v>0.999</v>
      </c>
      <c r="R7" s="402">
        <v>1</v>
      </c>
      <c r="S7" s="402">
        <v>1.0009999999999999</v>
      </c>
      <c r="T7" s="402">
        <v>1</v>
      </c>
      <c r="U7" s="402">
        <v>1</v>
      </c>
      <c r="V7" s="402">
        <v>1.0009999999999999</v>
      </c>
      <c r="W7" s="402"/>
    </row>
    <row r="8" spans="1:23">
      <c r="A8" s="213">
        <f t="shared" si="0"/>
        <v>1986</v>
      </c>
      <c r="B8" s="402" t="s">
        <v>34</v>
      </c>
      <c r="C8" s="402" t="s">
        <v>34</v>
      </c>
      <c r="D8" s="402" t="s">
        <v>34</v>
      </c>
      <c r="E8" s="402" t="s">
        <v>34</v>
      </c>
      <c r="F8" s="402" t="s">
        <v>34</v>
      </c>
      <c r="G8" s="402" t="s">
        <v>34</v>
      </c>
      <c r="H8" s="402">
        <v>1.006</v>
      </c>
      <c r="I8" s="402">
        <v>1.0049999999999999</v>
      </c>
      <c r="J8" s="402">
        <v>1.006</v>
      </c>
      <c r="K8" s="402">
        <v>1.004</v>
      </c>
      <c r="L8" s="402">
        <v>1.0049999999999999</v>
      </c>
      <c r="M8" s="402">
        <v>1</v>
      </c>
      <c r="N8" s="402">
        <v>1.002</v>
      </c>
      <c r="O8" s="402">
        <v>0.998</v>
      </c>
      <c r="P8" s="402">
        <v>1.0009999999999999</v>
      </c>
      <c r="Q8" s="402">
        <v>1.006</v>
      </c>
      <c r="R8" s="402">
        <v>0.99399999999999999</v>
      </c>
      <c r="S8" s="402">
        <v>1.002</v>
      </c>
      <c r="T8" s="402">
        <v>1.0009999999999999</v>
      </c>
      <c r="U8" s="402">
        <v>1.0009999999999999</v>
      </c>
      <c r="V8" s="402" t="s">
        <v>34</v>
      </c>
      <c r="W8" s="402"/>
    </row>
    <row r="9" spans="1:23">
      <c r="A9" s="213">
        <f t="shared" si="0"/>
        <v>1987</v>
      </c>
      <c r="B9" s="402" t="s">
        <v>34</v>
      </c>
      <c r="C9" s="402" t="s">
        <v>34</v>
      </c>
      <c r="D9" s="402" t="s">
        <v>34</v>
      </c>
      <c r="E9" s="402" t="s">
        <v>34</v>
      </c>
      <c r="F9" s="402" t="s">
        <v>34</v>
      </c>
      <c r="G9" s="402">
        <v>1.0109999999999999</v>
      </c>
      <c r="H9" s="402">
        <v>0.999</v>
      </c>
      <c r="I9" s="402">
        <v>1.0069999999999999</v>
      </c>
      <c r="J9" s="402">
        <v>1.0029999999999999</v>
      </c>
      <c r="K9" s="402">
        <v>1.004</v>
      </c>
      <c r="L9" s="402">
        <v>1.0049999999999999</v>
      </c>
      <c r="M9" s="402">
        <v>1.0009999999999999</v>
      </c>
      <c r="N9" s="402">
        <v>0.997</v>
      </c>
      <c r="O9" s="402">
        <v>1.0009999999999999</v>
      </c>
      <c r="P9" s="402">
        <v>1</v>
      </c>
      <c r="Q9" s="402">
        <v>1.0049999999999999</v>
      </c>
      <c r="R9" s="402">
        <v>1.002</v>
      </c>
      <c r="S9" s="402">
        <v>0.999</v>
      </c>
      <c r="T9" s="402">
        <v>1</v>
      </c>
      <c r="U9" s="402" t="s">
        <v>34</v>
      </c>
      <c r="V9" s="402" t="s">
        <v>34</v>
      </c>
      <c r="W9" s="402"/>
    </row>
    <row r="10" spans="1:23">
      <c r="A10" s="213">
        <f t="shared" si="0"/>
        <v>1988</v>
      </c>
      <c r="B10" s="402" t="s">
        <v>34</v>
      </c>
      <c r="C10" s="402" t="s">
        <v>34</v>
      </c>
      <c r="D10" s="402" t="s">
        <v>34</v>
      </c>
      <c r="E10" s="402" t="s">
        <v>34</v>
      </c>
      <c r="F10" s="402">
        <v>1.0049999999999999</v>
      </c>
      <c r="G10" s="402">
        <v>1.0049999999999999</v>
      </c>
      <c r="H10" s="402">
        <v>1.002</v>
      </c>
      <c r="I10" s="402">
        <v>1.0049999999999999</v>
      </c>
      <c r="J10" s="402">
        <v>1.0029999999999999</v>
      </c>
      <c r="K10" s="402">
        <v>1.0029999999999999</v>
      </c>
      <c r="L10" s="402">
        <v>1.002</v>
      </c>
      <c r="M10" s="402">
        <v>0.998</v>
      </c>
      <c r="N10" s="402">
        <v>0.999</v>
      </c>
      <c r="O10" s="402">
        <v>1</v>
      </c>
      <c r="P10" s="402">
        <v>1.0009999999999999</v>
      </c>
      <c r="Q10" s="402">
        <v>1.0009999999999999</v>
      </c>
      <c r="R10" s="402">
        <v>1</v>
      </c>
      <c r="S10" s="402">
        <v>1</v>
      </c>
      <c r="T10" s="402" t="s">
        <v>34</v>
      </c>
      <c r="U10" s="402" t="s">
        <v>34</v>
      </c>
      <c r="V10" s="402" t="s">
        <v>34</v>
      </c>
      <c r="W10" s="402"/>
    </row>
    <row r="11" spans="1:23">
      <c r="A11" s="213">
        <f t="shared" si="0"/>
        <v>1989</v>
      </c>
      <c r="B11" s="402" t="s">
        <v>34</v>
      </c>
      <c r="C11" s="402" t="s">
        <v>34</v>
      </c>
      <c r="D11" s="402" t="s">
        <v>34</v>
      </c>
      <c r="E11" s="402">
        <v>1.0049999999999999</v>
      </c>
      <c r="F11" s="402">
        <v>1.0049999999999999</v>
      </c>
      <c r="G11" s="402">
        <v>1.008</v>
      </c>
      <c r="H11" s="402">
        <v>1.006</v>
      </c>
      <c r="I11" s="402">
        <v>1</v>
      </c>
      <c r="J11" s="402">
        <v>1.0029999999999999</v>
      </c>
      <c r="K11" s="402">
        <v>0.999</v>
      </c>
      <c r="L11" s="402">
        <v>0.999</v>
      </c>
      <c r="M11" s="402">
        <v>0.999</v>
      </c>
      <c r="N11" s="402">
        <v>0.999</v>
      </c>
      <c r="O11" s="402">
        <v>1.002</v>
      </c>
      <c r="P11" s="402">
        <v>0.999</v>
      </c>
      <c r="Q11" s="402">
        <v>1</v>
      </c>
      <c r="R11" s="402">
        <v>0.999</v>
      </c>
      <c r="S11" s="402" t="s">
        <v>34</v>
      </c>
      <c r="T11" s="402" t="s">
        <v>34</v>
      </c>
      <c r="U11" s="402" t="s">
        <v>34</v>
      </c>
      <c r="V11" s="402" t="s">
        <v>34</v>
      </c>
      <c r="W11" s="402"/>
    </row>
    <row r="12" spans="1:23">
      <c r="A12" s="213">
        <f t="shared" si="0"/>
        <v>1990</v>
      </c>
      <c r="B12" s="402" t="s">
        <v>34</v>
      </c>
      <c r="C12" s="402" t="s">
        <v>34</v>
      </c>
      <c r="D12" s="402">
        <v>1.0069999999999999</v>
      </c>
      <c r="E12" s="402">
        <v>1.0049999999999999</v>
      </c>
      <c r="F12" s="402">
        <v>1.0029999999999999</v>
      </c>
      <c r="G12" s="402">
        <v>1.0029999999999999</v>
      </c>
      <c r="H12" s="402">
        <v>1.0029999999999999</v>
      </c>
      <c r="I12" s="402">
        <v>0.997</v>
      </c>
      <c r="J12" s="402">
        <v>1.002</v>
      </c>
      <c r="K12" s="402">
        <v>1</v>
      </c>
      <c r="L12" s="402">
        <v>1</v>
      </c>
      <c r="M12" s="402">
        <v>0.998</v>
      </c>
      <c r="N12" s="402">
        <v>0.999</v>
      </c>
      <c r="O12" s="402">
        <v>1</v>
      </c>
      <c r="P12" s="402">
        <v>1</v>
      </c>
      <c r="Q12" s="402">
        <v>0.999</v>
      </c>
      <c r="R12" s="402" t="s">
        <v>34</v>
      </c>
      <c r="S12" s="402" t="s">
        <v>34</v>
      </c>
      <c r="T12" s="402" t="s">
        <v>34</v>
      </c>
      <c r="U12" s="402" t="s">
        <v>34</v>
      </c>
      <c r="V12" s="402" t="s">
        <v>34</v>
      </c>
      <c r="W12" s="402"/>
    </row>
    <row r="13" spans="1:23">
      <c r="A13" s="213">
        <f t="shared" si="0"/>
        <v>1991</v>
      </c>
      <c r="B13" s="402" t="s">
        <v>34</v>
      </c>
      <c r="C13" s="402">
        <v>1.0049999999999999</v>
      </c>
      <c r="D13" s="402">
        <v>1.006</v>
      </c>
      <c r="E13" s="402">
        <v>1.002</v>
      </c>
      <c r="F13" s="402">
        <v>1.0029999999999999</v>
      </c>
      <c r="G13" s="402">
        <v>1.002</v>
      </c>
      <c r="H13" s="402">
        <v>1.0029999999999999</v>
      </c>
      <c r="I13" s="402">
        <v>1.0009999999999999</v>
      </c>
      <c r="J13" s="402">
        <v>1</v>
      </c>
      <c r="K13" s="402">
        <v>0.999</v>
      </c>
      <c r="L13" s="402">
        <v>0.998</v>
      </c>
      <c r="M13" s="402">
        <v>1</v>
      </c>
      <c r="N13" s="402">
        <v>1.0009999999999999</v>
      </c>
      <c r="O13" s="402">
        <v>1.0009999999999999</v>
      </c>
      <c r="P13" s="402">
        <v>1</v>
      </c>
      <c r="Q13" s="402" t="s">
        <v>34</v>
      </c>
      <c r="R13" s="402" t="s">
        <v>34</v>
      </c>
      <c r="S13" s="402" t="s">
        <v>34</v>
      </c>
      <c r="T13" s="402" t="s">
        <v>34</v>
      </c>
      <c r="U13" s="402" t="s">
        <v>34</v>
      </c>
      <c r="V13" s="402" t="s">
        <v>34</v>
      </c>
      <c r="W13" s="402"/>
    </row>
    <row r="14" spans="1:23">
      <c r="A14" s="213">
        <f t="shared" si="0"/>
        <v>1992</v>
      </c>
      <c r="B14" s="402">
        <v>1.0049999999999999</v>
      </c>
      <c r="C14" s="402">
        <v>1.004</v>
      </c>
      <c r="D14" s="402">
        <v>1.002</v>
      </c>
      <c r="E14" s="402">
        <v>1.0049999999999999</v>
      </c>
      <c r="F14" s="402">
        <v>1.0029999999999999</v>
      </c>
      <c r="G14" s="402">
        <v>1.0049999999999999</v>
      </c>
      <c r="H14" s="402">
        <v>1</v>
      </c>
      <c r="I14" s="402">
        <v>0.999</v>
      </c>
      <c r="J14" s="402">
        <v>1.0009999999999999</v>
      </c>
      <c r="K14" s="402">
        <v>0.999</v>
      </c>
      <c r="L14" s="402">
        <v>1.002</v>
      </c>
      <c r="M14" s="402">
        <v>0.999</v>
      </c>
      <c r="N14" s="402">
        <v>0.999</v>
      </c>
      <c r="O14" s="402">
        <v>1</v>
      </c>
      <c r="P14" s="402" t="s">
        <v>34</v>
      </c>
      <c r="Q14" s="402" t="s">
        <v>34</v>
      </c>
      <c r="R14" s="402" t="s">
        <v>34</v>
      </c>
      <c r="S14" s="402" t="s">
        <v>34</v>
      </c>
      <c r="T14" s="402" t="s">
        <v>34</v>
      </c>
      <c r="U14" s="402" t="s">
        <v>34</v>
      </c>
      <c r="V14" s="402" t="s">
        <v>34</v>
      </c>
      <c r="W14" s="402"/>
    </row>
    <row r="15" spans="1:23">
      <c r="A15" s="213">
        <f t="shared" si="0"/>
        <v>1993</v>
      </c>
      <c r="B15" s="402">
        <v>1.0069999999999999</v>
      </c>
      <c r="C15" s="402">
        <v>1.0109999999999999</v>
      </c>
      <c r="D15" s="402">
        <v>1.014</v>
      </c>
      <c r="E15" s="402">
        <v>1.004</v>
      </c>
      <c r="F15" s="402">
        <v>0.999</v>
      </c>
      <c r="G15" s="402">
        <v>1</v>
      </c>
      <c r="H15" s="402">
        <v>0.996</v>
      </c>
      <c r="I15" s="402">
        <v>0.999</v>
      </c>
      <c r="J15" s="402">
        <v>0.998</v>
      </c>
      <c r="K15" s="402">
        <v>0.998</v>
      </c>
      <c r="L15" s="402">
        <v>0.997</v>
      </c>
      <c r="M15" s="402">
        <v>0.998</v>
      </c>
      <c r="N15" s="402">
        <v>1</v>
      </c>
      <c r="O15" s="402" t="s">
        <v>34</v>
      </c>
      <c r="P15" s="402" t="s">
        <v>34</v>
      </c>
      <c r="Q15" s="402" t="s">
        <v>34</v>
      </c>
      <c r="R15" s="402" t="s">
        <v>34</v>
      </c>
      <c r="S15" s="402" t="s">
        <v>34</v>
      </c>
      <c r="T15" s="402" t="s">
        <v>34</v>
      </c>
      <c r="U15" s="402" t="s">
        <v>34</v>
      </c>
      <c r="V15" s="402" t="s">
        <v>34</v>
      </c>
      <c r="W15" s="402"/>
    </row>
    <row r="16" spans="1:23" ht="12.75" customHeight="1">
      <c r="A16" s="213">
        <f t="shared" si="0"/>
        <v>1994</v>
      </c>
      <c r="B16" s="402">
        <v>1.0109999999999999</v>
      </c>
      <c r="C16" s="402">
        <v>1.004</v>
      </c>
      <c r="D16" s="402">
        <v>1.0069999999999999</v>
      </c>
      <c r="E16" s="402">
        <v>1.006</v>
      </c>
      <c r="F16" s="402">
        <v>1.0009999999999999</v>
      </c>
      <c r="G16" s="402">
        <v>0.996</v>
      </c>
      <c r="H16" s="402">
        <v>0.995</v>
      </c>
      <c r="I16" s="402">
        <v>1.002</v>
      </c>
      <c r="J16" s="402">
        <v>1.002</v>
      </c>
      <c r="K16" s="402">
        <v>0.999</v>
      </c>
      <c r="L16" s="402">
        <v>0.997</v>
      </c>
      <c r="M16" s="402">
        <v>0.998</v>
      </c>
      <c r="N16" s="402" t="s">
        <v>34</v>
      </c>
      <c r="O16" s="402" t="s">
        <v>34</v>
      </c>
      <c r="P16" s="402" t="s">
        <v>34</v>
      </c>
      <c r="Q16" s="402" t="s">
        <v>34</v>
      </c>
      <c r="R16" s="402" t="s">
        <v>34</v>
      </c>
      <c r="S16" s="402" t="s">
        <v>34</v>
      </c>
      <c r="T16" s="402" t="s">
        <v>34</v>
      </c>
      <c r="U16" s="402" t="s">
        <v>34</v>
      </c>
      <c r="V16" s="402" t="s">
        <v>34</v>
      </c>
      <c r="W16" s="402"/>
    </row>
    <row r="17" spans="1:23" ht="12.75" customHeight="1">
      <c r="A17" s="213">
        <f t="shared" si="0"/>
        <v>1995</v>
      </c>
      <c r="B17" s="402">
        <v>1.0149999999999999</v>
      </c>
      <c r="C17" s="402">
        <v>0.996</v>
      </c>
      <c r="D17" s="402">
        <v>1.006</v>
      </c>
      <c r="E17" s="402">
        <v>0.999</v>
      </c>
      <c r="F17" s="402">
        <v>1.006</v>
      </c>
      <c r="G17" s="402">
        <v>0.99199999999999999</v>
      </c>
      <c r="H17" s="402">
        <v>0.999</v>
      </c>
      <c r="I17" s="402">
        <v>1.0009999999999999</v>
      </c>
      <c r="J17" s="402">
        <v>0.999</v>
      </c>
      <c r="K17" s="402">
        <v>1.0009999999999999</v>
      </c>
      <c r="L17" s="402">
        <v>1</v>
      </c>
      <c r="M17" s="402" t="s">
        <v>34</v>
      </c>
      <c r="N17" s="402" t="s">
        <v>34</v>
      </c>
      <c r="O17" s="402" t="s">
        <v>34</v>
      </c>
      <c r="P17" s="402" t="s">
        <v>34</v>
      </c>
      <c r="Q17" s="402" t="s">
        <v>34</v>
      </c>
      <c r="R17" s="402" t="s">
        <v>34</v>
      </c>
      <c r="S17" s="402" t="s">
        <v>34</v>
      </c>
      <c r="T17" s="402" t="s">
        <v>34</v>
      </c>
      <c r="U17" s="402" t="s">
        <v>34</v>
      </c>
      <c r="V17" s="402" t="s">
        <v>34</v>
      </c>
      <c r="W17" s="402"/>
    </row>
    <row r="18" spans="1:23" ht="12.75" customHeight="1">
      <c r="A18" s="213">
        <f t="shared" si="0"/>
        <v>1996</v>
      </c>
      <c r="B18" s="402">
        <v>1.008</v>
      </c>
      <c r="C18" s="402">
        <v>1.0049999999999999</v>
      </c>
      <c r="D18" s="402">
        <v>1.0009999999999999</v>
      </c>
      <c r="E18" s="402">
        <v>0.998</v>
      </c>
      <c r="F18" s="402">
        <v>0.999</v>
      </c>
      <c r="G18" s="402">
        <v>0.997</v>
      </c>
      <c r="H18" s="402">
        <v>1</v>
      </c>
      <c r="I18" s="402">
        <v>0.999</v>
      </c>
      <c r="J18" s="402">
        <v>0.997</v>
      </c>
      <c r="K18" s="402">
        <v>1.0029999999999999</v>
      </c>
      <c r="L18" s="402" t="s">
        <v>34</v>
      </c>
      <c r="M18" s="402" t="s">
        <v>34</v>
      </c>
      <c r="N18" s="402" t="s">
        <v>34</v>
      </c>
      <c r="O18" s="402" t="s">
        <v>34</v>
      </c>
      <c r="P18" s="402" t="s">
        <v>34</v>
      </c>
      <c r="Q18" s="402" t="s">
        <v>34</v>
      </c>
      <c r="R18" s="402" t="s">
        <v>34</v>
      </c>
      <c r="S18" s="402" t="s">
        <v>34</v>
      </c>
      <c r="T18" s="402" t="s">
        <v>34</v>
      </c>
      <c r="U18" s="402" t="s">
        <v>34</v>
      </c>
      <c r="V18" s="402" t="s">
        <v>34</v>
      </c>
      <c r="W18" s="402"/>
    </row>
    <row r="19" spans="1:23" ht="12.75" customHeight="1">
      <c r="A19" s="213">
        <f t="shared" si="0"/>
        <v>1997</v>
      </c>
      <c r="B19" s="402">
        <v>1.0009999999999999</v>
      </c>
      <c r="C19" s="402">
        <v>0.99399999999999999</v>
      </c>
      <c r="D19" s="402">
        <v>0.998</v>
      </c>
      <c r="E19" s="402">
        <v>0.997</v>
      </c>
      <c r="F19" s="402">
        <v>0.998</v>
      </c>
      <c r="G19" s="402">
        <v>1.0009999999999999</v>
      </c>
      <c r="H19" s="402">
        <v>0.997</v>
      </c>
      <c r="I19" s="402">
        <v>0.999</v>
      </c>
      <c r="J19" s="402">
        <v>1</v>
      </c>
      <c r="K19" s="402" t="s">
        <v>34</v>
      </c>
      <c r="L19" s="402" t="s">
        <v>34</v>
      </c>
      <c r="M19" s="402" t="s">
        <v>34</v>
      </c>
      <c r="N19" s="402" t="s">
        <v>34</v>
      </c>
      <c r="O19" s="402" t="s">
        <v>34</v>
      </c>
      <c r="P19" s="402" t="s">
        <v>34</v>
      </c>
      <c r="Q19" s="402" t="s">
        <v>34</v>
      </c>
      <c r="R19" s="402" t="s">
        <v>34</v>
      </c>
      <c r="S19" s="402" t="s">
        <v>34</v>
      </c>
      <c r="T19" s="402" t="s">
        <v>34</v>
      </c>
      <c r="U19" s="402" t="s">
        <v>34</v>
      </c>
      <c r="V19" s="402" t="s">
        <v>34</v>
      </c>
      <c r="W19" s="402"/>
    </row>
    <row r="20" spans="1:23" ht="12.75" customHeight="1">
      <c r="A20" s="213">
        <f t="shared" si="0"/>
        <v>1998</v>
      </c>
      <c r="B20" s="402">
        <v>1.0009999999999999</v>
      </c>
      <c r="C20" s="402">
        <v>1.0009999999999999</v>
      </c>
      <c r="D20" s="402">
        <v>0.99399999999999999</v>
      </c>
      <c r="E20" s="402">
        <v>1.0009999999999999</v>
      </c>
      <c r="F20" s="402">
        <v>1.0029999999999999</v>
      </c>
      <c r="G20" s="402">
        <v>1</v>
      </c>
      <c r="H20" s="402">
        <v>0.999</v>
      </c>
      <c r="I20" s="402">
        <v>0.99399999999999999</v>
      </c>
      <c r="J20" s="402" t="s">
        <v>34</v>
      </c>
      <c r="K20" s="402" t="s">
        <v>34</v>
      </c>
      <c r="L20" s="402" t="s">
        <v>34</v>
      </c>
      <c r="M20" s="402" t="s">
        <v>34</v>
      </c>
      <c r="N20" s="402" t="s">
        <v>34</v>
      </c>
      <c r="O20" s="402" t="s">
        <v>34</v>
      </c>
      <c r="P20" s="402" t="s">
        <v>34</v>
      </c>
      <c r="Q20" s="402" t="s">
        <v>34</v>
      </c>
      <c r="R20" s="402" t="s">
        <v>34</v>
      </c>
      <c r="S20" s="402" t="s">
        <v>34</v>
      </c>
      <c r="T20" s="402" t="s">
        <v>34</v>
      </c>
      <c r="U20" s="402" t="s">
        <v>34</v>
      </c>
      <c r="V20" s="402" t="s">
        <v>34</v>
      </c>
      <c r="W20" s="402"/>
    </row>
    <row r="21" spans="1:23" ht="12.75" customHeight="1">
      <c r="A21" s="213">
        <f t="shared" si="0"/>
        <v>1999</v>
      </c>
      <c r="B21" s="402">
        <v>0.999</v>
      </c>
      <c r="C21" s="402">
        <v>0.995</v>
      </c>
      <c r="D21" s="402">
        <v>1.002</v>
      </c>
      <c r="E21" s="402">
        <v>0.999</v>
      </c>
      <c r="F21" s="402">
        <v>0.999</v>
      </c>
      <c r="G21" s="402">
        <v>0.999</v>
      </c>
      <c r="H21" s="402">
        <v>0.998</v>
      </c>
      <c r="I21" s="402" t="s">
        <v>34</v>
      </c>
      <c r="J21" s="402" t="s">
        <v>34</v>
      </c>
      <c r="K21" s="402" t="s">
        <v>34</v>
      </c>
      <c r="L21" s="402" t="s">
        <v>34</v>
      </c>
      <c r="M21" s="402" t="s">
        <v>34</v>
      </c>
      <c r="N21" s="402" t="s">
        <v>34</v>
      </c>
      <c r="O21" s="402" t="s">
        <v>34</v>
      </c>
      <c r="P21" s="402" t="s">
        <v>34</v>
      </c>
      <c r="Q21" s="402" t="s">
        <v>34</v>
      </c>
      <c r="R21" s="402" t="s">
        <v>34</v>
      </c>
      <c r="S21" s="402" t="s">
        <v>34</v>
      </c>
      <c r="T21" s="402" t="s">
        <v>34</v>
      </c>
      <c r="U21" s="402" t="s">
        <v>34</v>
      </c>
      <c r="V21" s="402" t="s">
        <v>34</v>
      </c>
      <c r="W21" s="402"/>
    </row>
    <row r="22" spans="1:23" ht="12.75" customHeight="1">
      <c r="A22" s="213">
        <f t="shared" si="0"/>
        <v>2000</v>
      </c>
      <c r="B22" s="402">
        <v>0.996</v>
      </c>
      <c r="C22" s="402">
        <v>0.999</v>
      </c>
      <c r="D22" s="402">
        <v>0.999</v>
      </c>
      <c r="E22" s="402">
        <v>1</v>
      </c>
      <c r="F22" s="402">
        <v>0.998</v>
      </c>
      <c r="G22" s="402">
        <v>0.999</v>
      </c>
      <c r="H22" s="402" t="s">
        <v>34</v>
      </c>
      <c r="I22" s="402" t="s">
        <v>34</v>
      </c>
      <c r="J22" s="402" t="s">
        <v>34</v>
      </c>
      <c r="K22" s="402" t="s">
        <v>34</v>
      </c>
      <c r="L22" s="402" t="s">
        <v>34</v>
      </c>
      <c r="M22" s="402" t="s">
        <v>34</v>
      </c>
      <c r="N22" s="402" t="s">
        <v>34</v>
      </c>
      <c r="O22" s="402" t="s">
        <v>34</v>
      </c>
      <c r="P22" s="402" t="s">
        <v>34</v>
      </c>
      <c r="Q22" s="402" t="s">
        <v>34</v>
      </c>
      <c r="R22" s="402" t="s">
        <v>34</v>
      </c>
      <c r="S22" s="402" t="s">
        <v>34</v>
      </c>
      <c r="T22" s="402" t="s">
        <v>34</v>
      </c>
      <c r="U22" s="402" t="s">
        <v>34</v>
      </c>
      <c r="V22" s="402" t="s">
        <v>34</v>
      </c>
      <c r="W22" s="402"/>
    </row>
    <row r="23" spans="1:23" ht="12.75" customHeight="1">
      <c r="A23" s="213">
        <f t="shared" si="0"/>
        <v>2001</v>
      </c>
      <c r="B23" s="402">
        <v>1.0009999999999999</v>
      </c>
      <c r="C23" s="402">
        <v>1.0029999999999999</v>
      </c>
      <c r="D23" s="402">
        <v>0.998</v>
      </c>
      <c r="E23" s="402">
        <v>0.998</v>
      </c>
      <c r="F23" s="402">
        <v>0.999</v>
      </c>
      <c r="G23" s="402" t="s">
        <v>34</v>
      </c>
      <c r="H23" s="402" t="s">
        <v>34</v>
      </c>
      <c r="I23" s="402" t="s">
        <v>34</v>
      </c>
      <c r="J23" s="402" t="s">
        <v>34</v>
      </c>
      <c r="K23" s="402" t="s">
        <v>34</v>
      </c>
      <c r="L23" s="402" t="s">
        <v>34</v>
      </c>
      <c r="M23" s="402" t="s">
        <v>34</v>
      </c>
      <c r="N23" s="402" t="s">
        <v>34</v>
      </c>
      <c r="O23" s="402" t="s">
        <v>34</v>
      </c>
      <c r="P23" s="402" t="s">
        <v>34</v>
      </c>
      <c r="Q23" s="402" t="s">
        <v>34</v>
      </c>
      <c r="R23" s="402" t="s">
        <v>34</v>
      </c>
      <c r="S23" s="402" t="s">
        <v>34</v>
      </c>
      <c r="T23" s="402" t="s">
        <v>34</v>
      </c>
      <c r="U23" s="402" t="s">
        <v>34</v>
      </c>
      <c r="V23" s="402" t="s">
        <v>34</v>
      </c>
      <c r="W23" s="402"/>
    </row>
    <row r="24" spans="1:23" ht="12.75" customHeight="1">
      <c r="A24" s="213">
        <f t="shared" si="0"/>
        <v>2002</v>
      </c>
      <c r="B24" s="402">
        <v>1.0009999999999999</v>
      </c>
      <c r="C24" s="402">
        <v>1.0009999999999999</v>
      </c>
      <c r="D24" s="402">
        <v>0.999</v>
      </c>
      <c r="E24" s="402">
        <v>1</v>
      </c>
      <c r="F24" s="402" t="s">
        <v>34</v>
      </c>
      <c r="G24" s="402" t="s">
        <v>34</v>
      </c>
      <c r="H24" s="402" t="s">
        <v>34</v>
      </c>
      <c r="I24" s="402" t="s">
        <v>34</v>
      </c>
      <c r="J24" s="402" t="s">
        <v>34</v>
      </c>
      <c r="K24" s="402" t="s">
        <v>34</v>
      </c>
      <c r="L24" s="402" t="s">
        <v>34</v>
      </c>
      <c r="M24" s="402" t="s">
        <v>34</v>
      </c>
      <c r="N24" s="402" t="s">
        <v>34</v>
      </c>
      <c r="O24" s="402" t="s">
        <v>34</v>
      </c>
      <c r="P24" s="402" t="s">
        <v>34</v>
      </c>
      <c r="Q24" s="402" t="s">
        <v>34</v>
      </c>
      <c r="R24" s="402" t="s">
        <v>34</v>
      </c>
      <c r="S24" s="402" t="s">
        <v>34</v>
      </c>
      <c r="T24" s="402" t="s">
        <v>34</v>
      </c>
      <c r="U24" s="402" t="s">
        <v>34</v>
      </c>
      <c r="V24" s="402" t="s">
        <v>34</v>
      </c>
      <c r="W24" s="402"/>
    </row>
    <row r="25" spans="1:23" ht="12.75" customHeight="1">
      <c r="A25" s="213">
        <f t="shared" si="0"/>
        <v>2003</v>
      </c>
      <c r="B25" s="402">
        <v>1.0009999999999999</v>
      </c>
      <c r="C25" s="402">
        <v>0.998</v>
      </c>
      <c r="D25" s="402">
        <v>1</v>
      </c>
      <c r="E25" s="402" t="s">
        <v>34</v>
      </c>
      <c r="F25" s="402" t="s">
        <v>34</v>
      </c>
      <c r="G25" s="402" t="s">
        <v>34</v>
      </c>
      <c r="H25" s="402" t="s">
        <v>34</v>
      </c>
      <c r="I25" s="402" t="s">
        <v>34</v>
      </c>
      <c r="J25" s="402" t="s">
        <v>34</v>
      </c>
      <c r="K25" s="402" t="s">
        <v>34</v>
      </c>
      <c r="L25" s="402" t="s">
        <v>34</v>
      </c>
      <c r="M25" s="402" t="s">
        <v>34</v>
      </c>
      <c r="N25" s="402" t="s">
        <v>34</v>
      </c>
      <c r="O25" s="402" t="s">
        <v>34</v>
      </c>
      <c r="P25" s="402" t="s">
        <v>34</v>
      </c>
      <c r="Q25" s="402" t="s">
        <v>34</v>
      </c>
      <c r="R25" s="402" t="s">
        <v>34</v>
      </c>
      <c r="S25" s="402" t="s">
        <v>34</v>
      </c>
      <c r="T25" s="402" t="s">
        <v>34</v>
      </c>
      <c r="U25" s="402" t="s">
        <v>34</v>
      </c>
      <c r="V25" s="402" t="s">
        <v>34</v>
      </c>
      <c r="W25" s="402"/>
    </row>
    <row r="26" spans="1:23" ht="12.75" customHeight="1">
      <c r="A26" s="213">
        <f t="shared" si="0"/>
        <v>2004</v>
      </c>
      <c r="B26" s="402">
        <v>0.999</v>
      </c>
      <c r="C26" s="402">
        <v>1</v>
      </c>
      <c r="D26" s="402" t="s">
        <v>34</v>
      </c>
      <c r="E26" s="402" t="s">
        <v>34</v>
      </c>
      <c r="F26" s="402" t="s">
        <v>34</v>
      </c>
      <c r="G26" s="402" t="s">
        <v>34</v>
      </c>
      <c r="H26" s="402" t="s">
        <v>34</v>
      </c>
      <c r="I26" s="402" t="s">
        <v>34</v>
      </c>
      <c r="J26" s="402" t="s">
        <v>34</v>
      </c>
      <c r="K26" s="402" t="s">
        <v>34</v>
      </c>
      <c r="L26" s="402" t="s">
        <v>34</v>
      </c>
      <c r="M26" s="402" t="s">
        <v>34</v>
      </c>
      <c r="N26" s="402" t="s">
        <v>34</v>
      </c>
      <c r="O26" s="402" t="s">
        <v>34</v>
      </c>
      <c r="P26" s="402" t="s">
        <v>34</v>
      </c>
      <c r="Q26" s="402" t="s">
        <v>34</v>
      </c>
      <c r="R26" s="402" t="s">
        <v>34</v>
      </c>
      <c r="S26" s="402" t="s">
        <v>34</v>
      </c>
      <c r="T26" s="402" t="s">
        <v>34</v>
      </c>
      <c r="U26" s="402" t="s">
        <v>34</v>
      </c>
      <c r="V26" s="402" t="s">
        <v>34</v>
      </c>
      <c r="W26" s="402"/>
    </row>
    <row r="27" spans="1:23" ht="12.75" customHeight="1">
      <c r="A27" s="213">
        <f>'Exhibit 2.1.2'!A27</f>
        <v>2005</v>
      </c>
      <c r="B27" s="402">
        <v>0.999</v>
      </c>
      <c r="C27" s="402" t="s">
        <v>34</v>
      </c>
      <c r="D27" s="402" t="s">
        <v>34</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c r="R27" s="402" t="s">
        <v>34</v>
      </c>
      <c r="S27" s="402" t="s">
        <v>34</v>
      </c>
      <c r="T27" s="402" t="s">
        <v>34</v>
      </c>
      <c r="U27" s="402" t="s">
        <v>34</v>
      </c>
      <c r="V27" s="402" t="s">
        <v>34</v>
      </c>
      <c r="W27" s="402"/>
    </row>
    <row r="28" spans="1:23">
      <c r="A28" s="343"/>
      <c r="B28" s="215"/>
      <c r="C28" s="215"/>
      <c r="D28" s="215"/>
      <c r="E28" s="215"/>
      <c r="F28" s="215"/>
      <c r="G28" s="215"/>
      <c r="H28" s="215"/>
      <c r="I28" s="215"/>
      <c r="J28" s="215"/>
      <c r="K28" s="215"/>
      <c r="L28" s="215"/>
      <c r="M28" s="215"/>
      <c r="N28" s="215"/>
      <c r="O28" s="215"/>
      <c r="P28" s="215"/>
      <c r="Q28" s="57"/>
      <c r="R28" s="215"/>
      <c r="S28" s="215"/>
      <c r="T28" s="215"/>
      <c r="U28" s="215"/>
      <c r="V28" s="215"/>
    </row>
    <row r="29" spans="1:23">
      <c r="A29" s="217"/>
      <c r="B29" s="215"/>
      <c r="C29" s="215"/>
      <c r="D29" s="215"/>
      <c r="E29" s="215"/>
      <c r="F29" s="215"/>
      <c r="G29" s="215"/>
      <c r="H29" s="215"/>
      <c r="I29" s="215"/>
      <c r="J29" s="215"/>
      <c r="K29" s="215"/>
      <c r="L29" s="215"/>
      <c r="M29" s="215"/>
      <c r="N29" s="215"/>
      <c r="O29" s="215"/>
      <c r="P29" s="215"/>
      <c r="Q29" s="215"/>
      <c r="R29" s="215"/>
      <c r="S29" s="215"/>
      <c r="T29" s="215"/>
      <c r="U29" s="215"/>
      <c r="V29" s="215"/>
    </row>
    <row r="30" spans="1:23">
      <c r="A30" s="217" t="s">
        <v>20</v>
      </c>
      <c r="B30" s="403">
        <f>AVERAGE(B22:B27)</f>
        <v>0.99949999999999983</v>
      </c>
      <c r="C30" s="403">
        <f>AVERAGE(C21:C26)</f>
        <v>0.9993333333333333</v>
      </c>
      <c r="D30" s="403">
        <f>AVERAGE(D20:D25)</f>
        <v>0.9986666666666667</v>
      </c>
      <c r="E30" s="403">
        <f>AVERAGE(E19:E24)</f>
        <v>0.99916666666666665</v>
      </c>
      <c r="F30" s="403">
        <f>AVERAGE(F18:F23)</f>
        <v>0.9993333333333333</v>
      </c>
      <c r="G30" s="403">
        <f>AVERAGE(G17:G22)</f>
        <v>0.99799999999999989</v>
      </c>
      <c r="H30" s="403">
        <f>AVERAGE(H16:H21)</f>
        <v>0.99799999999999989</v>
      </c>
      <c r="I30" s="403">
        <f>AVERAGE(I15:I20)</f>
        <v>0.99899999999999978</v>
      </c>
      <c r="J30" s="403">
        <f>AVERAGE(J14:J19)</f>
        <v>0.99949999999999994</v>
      </c>
      <c r="K30" s="403">
        <f>AVERAGE(K13:K18)</f>
        <v>0.99983333333333346</v>
      </c>
      <c r="L30" s="403">
        <f>AVERAGE(L12:L17)</f>
        <v>0.999</v>
      </c>
      <c r="M30" s="403">
        <f>AVERAGE(M11:M16)</f>
        <v>0.9986666666666667</v>
      </c>
      <c r="N30" s="403">
        <f>AVERAGE(N10:N15)</f>
        <v>0.99949999999999994</v>
      </c>
      <c r="O30" s="403">
        <f>AVERAGE(O9:O14)</f>
        <v>1.0006666666666666</v>
      </c>
      <c r="P30" s="403">
        <f>AVERAGE(P8:P13)</f>
        <v>1.0001666666666666</v>
      </c>
      <c r="Q30" s="403">
        <f>AVERAGE(Q7:Q12)</f>
        <v>1.0016666666666665</v>
      </c>
      <c r="R30" s="403">
        <f>AVERAGE(R6:R11)</f>
        <v>0.9993333333333333</v>
      </c>
      <c r="S30" s="403">
        <f>AVERAGE(S5:S10)</f>
        <v>0.99999999999999989</v>
      </c>
      <c r="T30" s="403">
        <f>AVERAGE(T5:T9)</f>
        <v>1.0004</v>
      </c>
      <c r="U30" s="403">
        <f>AVERAGE(U5:U8)</f>
        <v>0.99999999999999989</v>
      </c>
      <c r="V30" s="403">
        <f>AVERAGE(V5:V7)</f>
        <v>1.0006666666666666</v>
      </c>
      <c r="W30" s="215"/>
    </row>
    <row r="31" spans="1:23">
      <c r="A31" s="343" t="s">
        <v>21</v>
      </c>
      <c r="B31" s="403">
        <f t="shared" ref="B31:U31" si="1">C31*B30</f>
        <v>0.99324494207080871</v>
      </c>
      <c r="C31" s="403">
        <f t="shared" si="1"/>
        <v>0.99374181297729758</v>
      </c>
      <c r="D31" s="403">
        <f t="shared" si="1"/>
        <v>0.9944047494769489</v>
      </c>
      <c r="E31" s="403">
        <f t="shared" si="1"/>
        <v>0.99573239266717173</v>
      </c>
      <c r="F31" s="403">
        <f t="shared" si="1"/>
        <v>0.99656286171860387</v>
      </c>
      <c r="G31" s="403">
        <f t="shared" si="1"/>
        <v>0.99722768017205199</v>
      </c>
      <c r="H31" s="403">
        <f t="shared" si="1"/>
        <v>0.99922613243692593</v>
      </c>
      <c r="I31" s="403">
        <f t="shared" si="1"/>
        <v>1.0012285896161583</v>
      </c>
      <c r="J31" s="403">
        <f t="shared" si="1"/>
        <v>1.0022308204365951</v>
      </c>
      <c r="K31" s="403">
        <f t="shared" si="1"/>
        <v>1.00273218652986</v>
      </c>
      <c r="L31" s="403">
        <f t="shared" si="1"/>
        <v>1.0028993364192631</v>
      </c>
      <c r="M31" s="403">
        <f t="shared" si="1"/>
        <v>1.003903239658922</v>
      </c>
      <c r="N31" s="403">
        <f t="shared" si="1"/>
        <v>1.0052435644114706</v>
      </c>
      <c r="O31" s="403">
        <f t="shared" si="1"/>
        <v>1.0057464376302858</v>
      </c>
      <c r="P31" s="403">
        <f t="shared" si="1"/>
        <v>1.0050763867058154</v>
      </c>
      <c r="Q31" s="403">
        <f t="shared" si="1"/>
        <v>1.004908901888834</v>
      </c>
      <c r="R31" s="403">
        <f t="shared" si="1"/>
        <v>1.0032368404880208</v>
      </c>
      <c r="S31" s="403">
        <f t="shared" si="1"/>
        <v>1.0039061112288401</v>
      </c>
      <c r="T31" s="403">
        <f t="shared" si="1"/>
        <v>1.0039061112288403</v>
      </c>
      <c r="U31" s="403">
        <f t="shared" si="1"/>
        <v>1.0035047093451024</v>
      </c>
      <c r="V31" s="403">
        <f>W31*V30</f>
        <v>1.0035047093451026</v>
      </c>
      <c r="W31" s="402">
        <v>1.0028361519104956</v>
      </c>
    </row>
    <row r="32" spans="1:23" ht="19.399999999999999" customHeight="1">
      <c r="A32" s="87" t="s">
        <v>26</v>
      </c>
      <c r="B32" s="505" t="s">
        <v>482</v>
      </c>
      <c r="C32" s="505"/>
      <c r="D32" s="505"/>
      <c r="E32" s="505"/>
      <c r="F32" s="505"/>
      <c r="G32" s="505"/>
      <c r="H32" s="505"/>
      <c r="I32" s="505"/>
      <c r="J32" s="505"/>
      <c r="K32" s="505"/>
      <c r="L32" s="505"/>
      <c r="M32" s="505"/>
      <c r="N32" s="505"/>
      <c r="O32" s="505"/>
      <c r="P32" s="505"/>
      <c r="Q32" s="505"/>
      <c r="R32" s="505"/>
      <c r="S32" s="338"/>
      <c r="T32" s="338"/>
      <c r="U32" s="383"/>
      <c r="V32" s="338"/>
    </row>
    <row r="33" spans="1:22" ht="13.4" customHeight="1">
      <c r="A33" s="57"/>
      <c r="B33" s="508" t="s">
        <v>482</v>
      </c>
      <c r="C33" s="508"/>
      <c r="D33" s="508"/>
      <c r="E33" s="508"/>
      <c r="F33" s="508"/>
      <c r="G33" s="508"/>
      <c r="H33" s="508"/>
      <c r="I33" s="508"/>
      <c r="J33" s="508"/>
      <c r="K33" s="508"/>
      <c r="L33" s="508"/>
      <c r="M33" s="508"/>
      <c r="N33" s="508"/>
      <c r="O33" s="508"/>
      <c r="P33" s="508"/>
      <c r="Q33" s="508"/>
      <c r="R33" s="508"/>
      <c r="S33" s="346"/>
      <c r="T33" s="346"/>
      <c r="U33" s="386"/>
      <c r="V33" s="346"/>
    </row>
  </sheetData>
  <mergeCells count="1">
    <mergeCell ref="B32:R33"/>
  </mergeCells>
  <pageMargins left="0.7" right="0.7" top="0.75" bottom="0.75" header="0.3" footer="0.3"/>
  <pageSetup scale="64" orientation="landscape" blackAndWhite="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34"/>
  <sheetViews>
    <sheetView zoomScaleNormal="100" zoomScaleSheetLayoutView="130" workbookViewId="0"/>
  </sheetViews>
  <sheetFormatPr defaultColWidth="9.1796875" defaultRowHeight="12.5"/>
  <cols>
    <col min="1" max="1" width="18.54296875" style="56" customWidth="1"/>
    <col min="2" max="17" width="8.1796875" style="56" customWidth="1"/>
    <col min="18" max="16384" width="9.1796875" style="56"/>
  </cols>
  <sheetData>
    <row r="1" spans="1:17" ht="13.4" customHeight="1">
      <c r="A1" s="137" t="s">
        <v>31</v>
      </c>
      <c r="B1" s="137"/>
      <c r="C1" s="137"/>
      <c r="D1" s="137"/>
      <c r="E1" s="137"/>
      <c r="F1" s="137"/>
      <c r="G1" s="137"/>
      <c r="H1" s="137"/>
      <c r="I1" s="137"/>
      <c r="J1" s="137"/>
      <c r="K1" s="137"/>
      <c r="L1" s="137"/>
      <c r="M1" s="137"/>
      <c r="N1" s="137"/>
      <c r="O1" s="137"/>
      <c r="P1" s="137"/>
      <c r="Q1" s="137"/>
    </row>
    <row r="2" spans="1:17" ht="13.4" customHeight="1">
      <c r="A2" s="61"/>
      <c r="B2" s="80"/>
      <c r="C2" s="61"/>
      <c r="D2" s="61"/>
      <c r="E2" s="61"/>
      <c r="F2" s="61"/>
      <c r="G2" s="61"/>
      <c r="H2" s="61"/>
      <c r="I2" s="61"/>
      <c r="J2" s="61"/>
      <c r="K2" s="61"/>
      <c r="L2" s="61"/>
      <c r="M2" s="61"/>
      <c r="N2" s="61"/>
      <c r="O2" s="61"/>
      <c r="P2" s="61"/>
      <c r="Q2" s="61"/>
    </row>
    <row r="3" spans="1:17" ht="13.4" customHeight="1">
      <c r="A3" s="61"/>
      <c r="B3" s="139" t="s">
        <v>18</v>
      </c>
      <c r="C3" s="139"/>
      <c r="D3" s="139"/>
      <c r="E3" s="139"/>
      <c r="F3" s="139"/>
      <c r="G3" s="139"/>
      <c r="H3" s="139"/>
      <c r="I3" s="139"/>
      <c r="J3" s="139"/>
      <c r="K3" s="139"/>
      <c r="L3" s="139"/>
      <c r="M3" s="139"/>
      <c r="N3" s="139"/>
      <c r="O3" s="139"/>
      <c r="P3" s="139"/>
      <c r="Q3" s="139"/>
    </row>
    <row r="4" spans="1:17" ht="13.4" customHeight="1">
      <c r="A4" s="6" t="s">
        <v>19</v>
      </c>
      <c r="B4" s="6" t="s">
        <v>507</v>
      </c>
      <c r="C4" s="6" t="s">
        <v>508</v>
      </c>
      <c r="D4" s="6" t="s">
        <v>509</v>
      </c>
      <c r="E4" s="6" t="s">
        <v>510</v>
      </c>
      <c r="F4" s="6" t="s">
        <v>511</v>
      </c>
      <c r="G4" s="6" t="s">
        <v>512</v>
      </c>
      <c r="H4" s="6" t="s">
        <v>513</v>
      </c>
      <c r="I4" s="6" t="s">
        <v>514</v>
      </c>
      <c r="J4" s="6" t="s">
        <v>515</v>
      </c>
      <c r="K4" s="6" t="s">
        <v>516</v>
      </c>
      <c r="L4" s="6" t="s">
        <v>517</v>
      </c>
      <c r="M4" s="6" t="s">
        <v>518</v>
      </c>
      <c r="N4" s="6" t="s">
        <v>519</v>
      </c>
      <c r="O4" s="6" t="s">
        <v>520</v>
      </c>
      <c r="P4" s="6" t="s">
        <v>521</v>
      </c>
      <c r="Q4" s="6" t="s">
        <v>522</v>
      </c>
    </row>
    <row r="5" spans="1:17" ht="13.4" customHeight="1">
      <c r="A5" s="7">
        <f t="shared" ref="A5:A28" si="0">+A6-1</f>
        <v>1997</v>
      </c>
      <c r="B5" s="402" t="s">
        <v>34</v>
      </c>
      <c r="C5" s="402" t="s">
        <v>34</v>
      </c>
      <c r="D5" s="402" t="s">
        <v>34</v>
      </c>
      <c r="E5" s="402" t="s">
        <v>34</v>
      </c>
      <c r="F5" s="402" t="s">
        <v>34</v>
      </c>
      <c r="G5" s="402" t="s">
        <v>34</v>
      </c>
      <c r="H5" s="402" t="s">
        <v>34</v>
      </c>
      <c r="I5" s="402" t="s">
        <v>34</v>
      </c>
      <c r="J5" s="402" t="s">
        <v>34</v>
      </c>
      <c r="K5" s="402" t="s">
        <v>34</v>
      </c>
      <c r="L5" s="402" t="s">
        <v>34</v>
      </c>
      <c r="M5" s="402">
        <v>1.008</v>
      </c>
      <c r="N5" s="402">
        <v>1.0069999999999999</v>
      </c>
      <c r="O5" s="402">
        <v>1.006</v>
      </c>
      <c r="P5" s="402">
        <v>1.006</v>
      </c>
      <c r="Q5" s="402">
        <v>1.0049999999999999</v>
      </c>
    </row>
    <row r="6" spans="1:17" ht="13.4" customHeight="1">
      <c r="A6" s="7">
        <f t="shared" si="0"/>
        <v>1998</v>
      </c>
      <c r="B6" s="402" t="s">
        <v>34</v>
      </c>
      <c r="C6" s="402" t="s">
        <v>34</v>
      </c>
      <c r="D6" s="402" t="s">
        <v>34</v>
      </c>
      <c r="E6" s="402" t="s">
        <v>34</v>
      </c>
      <c r="F6" s="402" t="s">
        <v>34</v>
      </c>
      <c r="G6" s="402" t="s">
        <v>34</v>
      </c>
      <c r="H6" s="402" t="s">
        <v>34</v>
      </c>
      <c r="I6" s="402" t="s">
        <v>34</v>
      </c>
      <c r="J6" s="402" t="s">
        <v>34</v>
      </c>
      <c r="K6" s="402" t="s">
        <v>34</v>
      </c>
      <c r="L6" s="402">
        <v>1.012</v>
      </c>
      <c r="M6" s="402">
        <v>1.0089999999999999</v>
      </c>
      <c r="N6" s="402">
        <v>1.0089999999999999</v>
      </c>
      <c r="O6" s="402">
        <v>1.0069999999999999</v>
      </c>
      <c r="P6" s="402">
        <v>1.006</v>
      </c>
      <c r="Q6" s="402">
        <v>1.006</v>
      </c>
    </row>
    <row r="7" spans="1:17" ht="13.4" customHeight="1">
      <c r="A7" s="7">
        <f t="shared" si="0"/>
        <v>1999</v>
      </c>
      <c r="B7" s="402" t="s">
        <v>34</v>
      </c>
      <c r="C7" s="402" t="s">
        <v>34</v>
      </c>
      <c r="D7" s="402" t="s">
        <v>34</v>
      </c>
      <c r="E7" s="402" t="s">
        <v>34</v>
      </c>
      <c r="F7" s="402" t="s">
        <v>34</v>
      </c>
      <c r="G7" s="402" t="s">
        <v>34</v>
      </c>
      <c r="H7" s="402" t="s">
        <v>34</v>
      </c>
      <c r="I7" s="402" t="s">
        <v>34</v>
      </c>
      <c r="J7" s="402" t="s">
        <v>34</v>
      </c>
      <c r="K7" s="402">
        <v>1.0149999999999999</v>
      </c>
      <c r="L7" s="402">
        <v>1.0109999999999999</v>
      </c>
      <c r="M7" s="402">
        <v>1.0089999999999999</v>
      </c>
      <c r="N7" s="402">
        <v>1.008</v>
      </c>
      <c r="O7" s="402">
        <v>1.0069999999999999</v>
      </c>
      <c r="P7" s="402">
        <v>1.006</v>
      </c>
      <c r="Q7" s="402">
        <v>1.004</v>
      </c>
    </row>
    <row r="8" spans="1:17" ht="13.4" customHeight="1">
      <c r="A8" s="7">
        <f t="shared" si="0"/>
        <v>2000</v>
      </c>
      <c r="B8" s="402" t="s">
        <v>34</v>
      </c>
      <c r="C8" s="402" t="s">
        <v>34</v>
      </c>
      <c r="D8" s="402" t="s">
        <v>34</v>
      </c>
      <c r="E8" s="402" t="s">
        <v>34</v>
      </c>
      <c r="F8" s="402" t="s">
        <v>34</v>
      </c>
      <c r="G8" s="402" t="s">
        <v>34</v>
      </c>
      <c r="H8" s="402" t="s">
        <v>34</v>
      </c>
      <c r="I8" s="402" t="s">
        <v>34</v>
      </c>
      <c r="J8" s="402">
        <v>1.016</v>
      </c>
      <c r="K8" s="402">
        <v>1.0129999999999999</v>
      </c>
      <c r="L8" s="402">
        <v>1.01</v>
      </c>
      <c r="M8" s="402">
        <v>1.0089999999999999</v>
      </c>
      <c r="N8" s="402">
        <v>1.008</v>
      </c>
      <c r="O8" s="402">
        <v>1.0069999999999999</v>
      </c>
      <c r="P8" s="402">
        <v>1.0049999999999999</v>
      </c>
      <c r="Q8" s="402">
        <v>1.004</v>
      </c>
    </row>
    <row r="9" spans="1:17" ht="13.4" customHeight="1">
      <c r="A9" s="7">
        <f t="shared" si="0"/>
        <v>2001</v>
      </c>
      <c r="B9" s="402" t="s">
        <v>34</v>
      </c>
      <c r="C9" s="402" t="s">
        <v>34</v>
      </c>
      <c r="D9" s="402" t="s">
        <v>34</v>
      </c>
      <c r="E9" s="402" t="s">
        <v>34</v>
      </c>
      <c r="F9" s="402" t="s">
        <v>34</v>
      </c>
      <c r="G9" s="402" t="s">
        <v>34</v>
      </c>
      <c r="H9" s="402" t="s">
        <v>34</v>
      </c>
      <c r="I9" s="402">
        <v>1.024</v>
      </c>
      <c r="J9" s="402">
        <v>1.0169999999999999</v>
      </c>
      <c r="K9" s="402">
        <v>1.014</v>
      </c>
      <c r="L9" s="402">
        <v>1.012</v>
      </c>
      <c r="M9" s="402">
        <v>1.0109999999999999</v>
      </c>
      <c r="N9" s="402">
        <v>1.008</v>
      </c>
      <c r="O9" s="402">
        <v>1.0069999999999999</v>
      </c>
      <c r="P9" s="402">
        <v>1.006</v>
      </c>
      <c r="Q9" s="402">
        <v>1.0049999999999999</v>
      </c>
    </row>
    <row r="10" spans="1:17" ht="13.4" customHeight="1">
      <c r="A10" s="7">
        <f t="shared" si="0"/>
        <v>2002</v>
      </c>
      <c r="B10" s="402" t="s">
        <v>34</v>
      </c>
      <c r="C10" s="402" t="s">
        <v>34</v>
      </c>
      <c r="D10" s="402" t="s">
        <v>34</v>
      </c>
      <c r="E10" s="402" t="s">
        <v>34</v>
      </c>
      <c r="F10" s="402" t="s">
        <v>34</v>
      </c>
      <c r="G10" s="402" t="s">
        <v>34</v>
      </c>
      <c r="H10" s="402">
        <v>1.0309999999999999</v>
      </c>
      <c r="I10" s="402">
        <v>1.02</v>
      </c>
      <c r="J10" s="402">
        <v>1.018</v>
      </c>
      <c r="K10" s="402">
        <v>1.0149999999999999</v>
      </c>
      <c r="L10" s="402">
        <v>1.014</v>
      </c>
      <c r="M10" s="402">
        <v>1.008</v>
      </c>
      <c r="N10" s="402">
        <v>1.008</v>
      </c>
      <c r="O10" s="402">
        <v>1.006</v>
      </c>
      <c r="P10" s="402">
        <v>1.006</v>
      </c>
      <c r="Q10" s="402">
        <v>1.0049999999999999</v>
      </c>
    </row>
    <row r="11" spans="1:17" ht="13.4" customHeight="1">
      <c r="A11" s="7">
        <f t="shared" si="0"/>
        <v>2003</v>
      </c>
      <c r="B11" s="402" t="s">
        <v>34</v>
      </c>
      <c r="C11" s="402" t="s">
        <v>34</v>
      </c>
      <c r="D11" s="402" t="s">
        <v>34</v>
      </c>
      <c r="E11" s="402" t="s">
        <v>34</v>
      </c>
      <c r="F11" s="402" t="s">
        <v>34</v>
      </c>
      <c r="G11" s="402">
        <v>1.0429999999999999</v>
      </c>
      <c r="H11" s="402">
        <v>1.03</v>
      </c>
      <c r="I11" s="402">
        <v>1.026</v>
      </c>
      <c r="J11" s="402">
        <v>1.0229999999999999</v>
      </c>
      <c r="K11" s="402">
        <v>1.0209999999999999</v>
      </c>
      <c r="L11" s="402">
        <v>1.0149999999999999</v>
      </c>
      <c r="M11" s="402">
        <v>1.012</v>
      </c>
      <c r="N11" s="402">
        <v>1.0089999999999999</v>
      </c>
      <c r="O11" s="402">
        <v>1.008</v>
      </c>
      <c r="P11" s="402">
        <v>1.0069999999999999</v>
      </c>
      <c r="Q11" s="402">
        <v>1.0069999999999999</v>
      </c>
    </row>
    <row r="12" spans="1:17" ht="13.4" customHeight="1">
      <c r="A12" s="7">
        <f t="shared" si="0"/>
        <v>2004</v>
      </c>
      <c r="B12" s="402" t="s">
        <v>34</v>
      </c>
      <c r="C12" s="402" t="s">
        <v>34</v>
      </c>
      <c r="D12" s="402" t="s">
        <v>34</v>
      </c>
      <c r="E12" s="402" t="s">
        <v>34</v>
      </c>
      <c r="F12" s="402">
        <v>1.073</v>
      </c>
      <c r="G12" s="402">
        <v>1.0489999999999999</v>
      </c>
      <c r="H12" s="402">
        <v>1.0409999999999999</v>
      </c>
      <c r="I12" s="402">
        <v>1.0349999999999999</v>
      </c>
      <c r="J12" s="402">
        <v>1.03</v>
      </c>
      <c r="K12" s="402">
        <v>1.02</v>
      </c>
      <c r="L12" s="402">
        <v>1.0149999999999999</v>
      </c>
      <c r="M12" s="402">
        <v>1.0109999999999999</v>
      </c>
      <c r="N12" s="402">
        <v>1.0089999999999999</v>
      </c>
      <c r="O12" s="402">
        <v>1.008</v>
      </c>
      <c r="P12" s="402">
        <v>1.0089999999999999</v>
      </c>
      <c r="Q12" s="402">
        <v>1.006</v>
      </c>
    </row>
    <row r="13" spans="1:17" ht="13.4" customHeight="1">
      <c r="A13" s="7">
        <f t="shared" si="0"/>
        <v>2005</v>
      </c>
      <c r="B13" s="402" t="s">
        <v>34</v>
      </c>
      <c r="C13" s="402" t="s">
        <v>34</v>
      </c>
      <c r="D13" s="402" t="s">
        <v>34</v>
      </c>
      <c r="E13" s="402">
        <v>1.121</v>
      </c>
      <c r="F13" s="402">
        <v>1.079</v>
      </c>
      <c r="G13" s="402">
        <v>1.06</v>
      </c>
      <c r="H13" s="402">
        <v>1.0469999999999999</v>
      </c>
      <c r="I13" s="402">
        <v>1.042</v>
      </c>
      <c r="J13" s="402">
        <v>1.028</v>
      </c>
      <c r="K13" s="402">
        <v>1.02</v>
      </c>
      <c r="L13" s="402">
        <v>1.0149999999999999</v>
      </c>
      <c r="M13" s="402">
        <v>1.0129999999999999</v>
      </c>
      <c r="N13" s="402">
        <v>1.01</v>
      </c>
      <c r="O13" s="402">
        <v>1.01</v>
      </c>
      <c r="P13" s="402">
        <v>1.01</v>
      </c>
      <c r="Q13" s="402">
        <v>1.0049999999999999</v>
      </c>
    </row>
    <row r="14" spans="1:17" ht="13.4" customHeight="1">
      <c r="A14" s="7">
        <f t="shared" si="0"/>
        <v>2006</v>
      </c>
      <c r="B14" s="402" t="s">
        <v>34</v>
      </c>
      <c r="C14" s="402" t="s">
        <v>34</v>
      </c>
      <c r="D14" s="402">
        <v>1.2290000000000001</v>
      </c>
      <c r="E14" s="402">
        <v>1.135</v>
      </c>
      <c r="F14" s="402">
        <v>1.0900000000000001</v>
      </c>
      <c r="G14" s="402">
        <v>1.0680000000000001</v>
      </c>
      <c r="H14" s="402">
        <v>1.05</v>
      </c>
      <c r="I14" s="402">
        <v>1.0349999999999999</v>
      </c>
      <c r="J14" s="402">
        <v>1.026</v>
      </c>
      <c r="K14" s="402">
        <v>1.018</v>
      </c>
      <c r="L14" s="402">
        <v>1.016</v>
      </c>
      <c r="M14" s="402">
        <v>1.012</v>
      </c>
      <c r="N14" s="402">
        <v>1.0109999999999999</v>
      </c>
      <c r="O14" s="402">
        <v>1.0089999999999999</v>
      </c>
      <c r="P14" s="402">
        <v>1.0069999999999999</v>
      </c>
      <c r="Q14" s="402">
        <v>1.006</v>
      </c>
    </row>
    <row r="15" spans="1:17" ht="13.4" customHeight="1">
      <c r="A15" s="7">
        <f t="shared" si="0"/>
        <v>2007</v>
      </c>
      <c r="B15" s="402" t="s">
        <v>34</v>
      </c>
      <c r="C15" s="402">
        <v>1.5469999999999999</v>
      </c>
      <c r="D15" s="402">
        <v>1.246</v>
      </c>
      <c r="E15" s="402">
        <v>1.1399999999999999</v>
      </c>
      <c r="F15" s="402">
        <v>1.0920000000000001</v>
      </c>
      <c r="G15" s="402">
        <v>1.0660000000000001</v>
      </c>
      <c r="H15" s="402">
        <v>1.046</v>
      </c>
      <c r="I15" s="402">
        <v>1.0329999999999999</v>
      </c>
      <c r="J15" s="402">
        <v>1.0269999999999999</v>
      </c>
      <c r="K15" s="402">
        <v>1.02</v>
      </c>
      <c r="L15" s="402">
        <v>1.016</v>
      </c>
      <c r="M15" s="402">
        <v>1.0129999999999999</v>
      </c>
      <c r="N15" s="402">
        <v>1.0129999999999999</v>
      </c>
      <c r="O15" s="402">
        <v>1.0069999999999999</v>
      </c>
      <c r="P15" s="402">
        <v>1.006</v>
      </c>
      <c r="Q15" s="402" t="s">
        <v>34</v>
      </c>
    </row>
    <row r="16" spans="1:17" ht="13.4" customHeight="1">
      <c r="A16" s="7">
        <f t="shared" si="0"/>
        <v>2008</v>
      </c>
      <c r="B16" s="402">
        <v>2.927</v>
      </c>
      <c r="C16" s="402">
        <v>1.577</v>
      </c>
      <c r="D16" s="402">
        <v>1.2709999999999999</v>
      </c>
      <c r="E16" s="402">
        <v>1.1499999999999999</v>
      </c>
      <c r="F16" s="402">
        <v>1.0920000000000001</v>
      </c>
      <c r="G16" s="402">
        <v>1.06</v>
      </c>
      <c r="H16" s="402">
        <v>1.0409999999999999</v>
      </c>
      <c r="I16" s="402">
        <v>1.0269999999999999</v>
      </c>
      <c r="J16" s="402">
        <v>1.0229999999999999</v>
      </c>
      <c r="K16" s="402">
        <v>1.018</v>
      </c>
      <c r="L16" s="402">
        <v>1.0149999999999999</v>
      </c>
      <c r="M16" s="402">
        <v>1.01</v>
      </c>
      <c r="N16" s="402">
        <v>1.0089999999999999</v>
      </c>
      <c r="O16" s="402">
        <v>1.0069999999999999</v>
      </c>
      <c r="P16" s="402" t="s">
        <v>34</v>
      </c>
      <c r="Q16" s="402" t="s">
        <v>34</v>
      </c>
    </row>
    <row r="17" spans="1:17" ht="13.4" customHeight="1">
      <c r="A17" s="7">
        <f t="shared" si="0"/>
        <v>2009</v>
      </c>
      <c r="B17" s="402">
        <v>3.069</v>
      </c>
      <c r="C17" s="402">
        <v>1.6160000000000001</v>
      </c>
      <c r="D17" s="402">
        <v>1.28</v>
      </c>
      <c r="E17" s="402">
        <v>1.1559999999999999</v>
      </c>
      <c r="F17" s="402">
        <v>1.0920000000000001</v>
      </c>
      <c r="G17" s="402">
        <v>1.0609999999999999</v>
      </c>
      <c r="H17" s="402">
        <v>1.0429999999999999</v>
      </c>
      <c r="I17" s="402">
        <v>1.0309999999999999</v>
      </c>
      <c r="J17" s="402">
        <v>1.0229999999999999</v>
      </c>
      <c r="K17" s="402">
        <v>1.0189999999999999</v>
      </c>
      <c r="L17" s="402">
        <v>1.0109999999999999</v>
      </c>
      <c r="M17" s="402">
        <v>1.0129999999999999</v>
      </c>
      <c r="N17" s="402">
        <v>1.01</v>
      </c>
      <c r="O17" s="402" t="s">
        <v>34</v>
      </c>
      <c r="P17" s="402" t="s">
        <v>34</v>
      </c>
      <c r="Q17" s="402" t="s">
        <v>34</v>
      </c>
    </row>
    <row r="18" spans="1:17" ht="13.4" customHeight="1">
      <c r="A18" s="7">
        <f t="shared" si="0"/>
        <v>2010</v>
      </c>
      <c r="B18" s="402">
        <v>3.157</v>
      </c>
      <c r="C18" s="402">
        <v>1.6279999999999999</v>
      </c>
      <c r="D18" s="402">
        <v>1.2809999999999999</v>
      </c>
      <c r="E18" s="402">
        <v>1.147</v>
      </c>
      <c r="F18" s="402">
        <v>1.091</v>
      </c>
      <c r="G18" s="402">
        <v>1.06</v>
      </c>
      <c r="H18" s="402">
        <v>1.038</v>
      </c>
      <c r="I18" s="402">
        <v>1.0269999999999999</v>
      </c>
      <c r="J18" s="402">
        <v>1.0209999999999999</v>
      </c>
      <c r="K18" s="402">
        <v>1.0129999999999999</v>
      </c>
      <c r="L18" s="402">
        <v>1.012</v>
      </c>
      <c r="M18" s="402">
        <v>1.012</v>
      </c>
      <c r="N18" s="402" t="s">
        <v>34</v>
      </c>
      <c r="O18" s="402" t="s">
        <v>34</v>
      </c>
      <c r="P18" s="402" t="s">
        <v>34</v>
      </c>
      <c r="Q18" s="402" t="s">
        <v>34</v>
      </c>
    </row>
    <row r="19" spans="1:17" ht="13.4" customHeight="1">
      <c r="A19" s="7">
        <f t="shared" si="0"/>
        <v>2011</v>
      </c>
      <c r="B19" s="402">
        <v>3.2080000000000002</v>
      </c>
      <c r="C19" s="402">
        <v>1.613</v>
      </c>
      <c r="D19" s="402">
        <v>1.266</v>
      </c>
      <c r="E19" s="402">
        <v>1.1439999999999999</v>
      </c>
      <c r="F19" s="402">
        <v>1.087</v>
      </c>
      <c r="G19" s="402">
        <v>1.056</v>
      </c>
      <c r="H19" s="402">
        <v>1.0409999999999999</v>
      </c>
      <c r="I19" s="402">
        <v>1.026</v>
      </c>
      <c r="J19" s="402">
        <v>1.016</v>
      </c>
      <c r="K19" s="402">
        <v>1.016</v>
      </c>
      <c r="L19" s="402">
        <v>1.01</v>
      </c>
      <c r="M19" s="402" t="s">
        <v>34</v>
      </c>
      <c r="N19" s="402" t="s">
        <v>34</v>
      </c>
      <c r="O19" s="402" t="s">
        <v>34</v>
      </c>
      <c r="P19" s="402" t="s">
        <v>34</v>
      </c>
      <c r="Q19" s="402" t="s">
        <v>34</v>
      </c>
    </row>
    <row r="20" spans="1:17" ht="13.4" customHeight="1">
      <c r="A20" s="7">
        <f t="shared" si="0"/>
        <v>2012</v>
      </c>
      <c r="B20" s="402">
        <v>3.137</v>
      </c>
      <c r="C20" s="402">
        <v>1.597</v>
      </c>
      <c r="D20" s="402">
        <v>1.262</v>
      </c>
      <c r="E20" s="402">
        <v>1.137</v>
      </c>
      <c r="F20" s="402">
        <v>1.087</v>
      </c>
      <c r="G20" s="402">
        <v>1.0509999999999999</v>
      </c>
      <c r="H20" s="402">
        <v>1.034</v>
      </c>
      <c r="I20" s="402">
        <v>1.0229999999999999</v>
      </c>
      <c r="J20" s="402">
        <v>1.0169999999999999</v>
      </c>
      <c r="K20" s="402">
        <v>1.014</v>
      </c>
      <c r="L20" s="402" t="s">
        <v>34</v>
      </c>
      <c r="M20" s="402" t="s">
        <v>34</v>
      </c>
      <c r="N20" s="402" t="s">
        <v>34</v>
      </c>
      <c r="O20" s="402" t="s">
        <v>34</v>
      </c>
      <c r="P20" s="402" t="s">
        <v>34</v>
      </c>
      <c r="Q20" s="402" t="s">
        <v>34</v>
      </c>
    </row>
    <row r="21" spans="1:17" ht="13.4" customHeight="1">
      <c r="A21" s="7">
        <f t="shared" si="0"/>
        <v>2013</v>
      </c>
      <c r="B21" s="402">
        <v>3.169</v>
      </c>
      <c r="C21" s="402">
        <v>1.6060000000000001</v>
      </c>
      <c r="D21" s="402">
        <v>1.26</v>
      </c>
      <c r="E21" s="402">
        <v>1.129</v>
      </c>
      <c r="F21" s="402">
        <v>1.0720000000000001</v>
      </c>
      <c r="G21" s="402">
        <v>1.044</v>
      </c>
      <c r="H21" s="402">
        <v>1.028</v>
      </c>
      <c r="I21" s="402">
        <v>1.02</v>
      </c>
      <c r="J21" s="402">
        <v>1.014</v>
      </c>
      <c r="K21" s="402" t="s">
        <v>34</v>
      </c>
      <c r="L21" s="402" t="s">
        <v>34</v>
      </c>
      <c r="M21" s="402" t="s">
        <v>34</v>
      </c>
      <c r="N21" s="402" t="s">
        <v>34</v>
      </c>
      <c r="O21" s="402" t="s">
        <v>34</v>
      </c>
      <c r="P21" s="402" t="s">
        <v>34</v>
      </c>
      <c r="Q21" s="402" t="s">
        <v>34</v>
      </c>
    </row>
    <row r="22" spans="1:17" ht="13.4" customHeight="1">
      <c r="A22" s="7">
        <f t="shared" si="0"/>
        <v>2014</v>
      </c>
      <c r="B22" s="402">
        <v>3.2290000000000001</v>
      </c>
      <c r="C22" s="402">
        <v>1.635</v>
      </c>
      <c r="D22" s="402">
        <v>1.2569999999999999</v>
      </c>
      <c r="E22" s="402">
        <v>1.129</v>
      </c>
      <c r="F22" s="402">
        <v>1.071</v>
      </c>
      <c r="G22" s="402">
        <v>1.0389999999999999</v>
      </c>
      <c r="H22" s="402">
        <v>1.0269999999999999</v>
      </c>
      <c r="I22" s="402">
        <v>1.018</v>
      </c>
      <c r="J22" s="402" t="s">
        <v>34</v>
      </c>
      <c r="K22" s="402" t="s">
        <v>34</v>
      </c>
      <c r="L22" s="402" t="s">
        <v>34</v>
      </c>
      <c r="M22" s="402" t="s">
        <v>34</v>
      </c>
      <c r="N22" s="402" t="s">
        <v>34</v>
      </c>
      <c r="O22" s="402" t="s">
        <v>34</v>
      </c>
      <c r="P22" s="402" t="s">
        <v>34</v>
      </c>
      <c r="Q22" s="402" t="s">
        <v>34</v>
      </c>
    </row>
    <row r="23" spans="1:17" ht="13.4" customHeight="1">
      <c r="A23" s="7">
        <f t="shared" si="0"/>
        <v>2015</v>
      </c>
      <c r="B23" s="402">
        <v>3.278</v>
      </c>
      <c r="C23" s="402">
        <v>1.6180000000000001</v>
      </c>
      <c r="D23" s="402">
        <v>1.244</v>
      </c>
      <c r="E23" s="402">
        <v>1.119</v>
      </c>
      <c r="F23" s="402">
        <v>1.0580000000000001</v>
      </c>
      <c r="G23" s="402">
        <v>1.042</v>
      </c>
      <c r="H23" s="402">
        <v>1.026</v>
      </c>
      <c r="I23" s="402" t="s">
        <v>34</v>
      </c>
      <c r="J23" s="402" t="s">
        <v>34</v>
      </c>
      <c r="K23" s="402" t="s">
        <v>34</v>
      </c>
      <c r="L23" s="402" t="s">
        <v>34</v>
      </c>
      <c r="M23" s="402" t="s">
        <v>34</v>
      </c>
      <c r="N23" s="402" t="s">
        <v>34</v>
      </c>
      <c r="O23" s="402" t="s">
        <v>34</v>
      </c>
      <c r="P23" s="402" t="s">
        <v>34</v>
      </c>
      <c r="Q23" s="402" t="s">
        <v>34</v>
      </c>
    </row>
    <row r="24" spans="1:17" ht="13.4" customHeight="1">
      <c r="A24" s="7">
        <f t="shared" si="0"/>
        <v>2016</v>
      </c>
      <c r="B24" s="402">
        <v>3.2349999999999999</v>
      </c>
      <c r="C24" s="402">
        <v>1.5860000000000001</v>
      </c>
      <c r="D24" s="402">
        <v>1.23</v>
      </c>
      <c r="E24" s="402">
        <v>1.103</v>
      </c>
      <c r="F24" s="402">
        <v>1.06</v>
      </c>
      <c r="G24" s="402">
        <v>1.0429999999999999</v>
      </c>
      <c r="H24" s="402" t="s">
        <v>34</v>
      </c>
      <c r="I24" s="402" t="s">
        <v>34</v>
      </c>
      <c r="J24" s="402" t="s">
        <v>34</v>
      </c>
      <c r="K24" s="402" t="s">
        <v>34</v>
      </c>
      <c r="L24" s="402" t="s">
        <v>34</v>
      </c>
      <c r="M24" s="402" t="s">
        <v>34</v>
      </c>
      <c r="N24" s="402" t="s">
        <v>34</v>
      </c>
      <c r="O24" s="402" t="s">
        <v>34</v>
      </c>
      <c r="P24" s="402" t="s">
        <v>34</v>
      </c>
      <c r="Q24" s="402" t="s">
        <v>34</v>
      </c>
    </row>
    <row r="25" spans="1:17" ht="13.4" customHeight="1">
      <c r="A25" s="7">
        <f t="shared" si="0"/>
        <v>2017</v>
      </c>
      <c r="B25" s="402">
        <v>3.1850000000000001</v>
      </c>
      <c r="C25" s="402">
        <v>1.569</v>
      </c>
      <c r="D25" s="402">
        <v>1.21</v>
      </c>
      <c r="E25" s="402">
        <v>1.109</v>
      </c>
      <c r="F25" s="402">
        <v>1.0649999999999999</v>
      </c>
      <c r="G25" s="402" t="s">
        <v>34</v>
      </c>
      <c r="H25" s="402" t="s">
        <v>34</v>
      </c>
      <c r="I25" s="402" t="s">
        <v>34</v>
      </c>
      <c r="J25" s="402" t="s">
        <v>34</v>
      </c>
      <c r="K25" s="402" t="s">
        <v>34</v>
      </c>
      <c r="L25" s="402" t="s">
        <v>34</v>
      </c>
      <c r="M25" s="402" t="s">
        <v>34</v>
      </c>
      <c r="N25" s="402" t="s">
        <v>34</v>
      </c>
      <c r="O25" s="402" t="s">
        <v>34</v>
      </c>
      <c r="P25" s="402" t="s">
        <v>34</v>
      </c>
      <c r="Q25" s="402" t="s">
        <v>34</v>
      </c>
    </row>
    <row r="26" spans="1:17" ht="13.4" customHeight="1">
      <c r="A26" s="7">
        <f t="shared" si="0"/>
        <v>2018</v>
      </c>
      <c r="B26" s="402">
        <v>3.11</v>
      </c>
      <c r="C26" s="402">
        <v>1.526</v>
      </c>
      <c r="D26" s="402">
        <v>1.222</v>
      </c>
      <c r="E26" s="402">
        <v>1.113</v>
      </c>
      <c r="F26" s="402" t="s">
        <v>34</v>
      </c>
      <c r="G26" s="402" t="s">
        <v>34</v>
      </c>
      <c r="H26" s="402" t="s">
        <v>34</v>
      </c>
      <c r="I26" s="402" t="s">
        <v>34</v>
      </c>
      <c r="J26" s="402" t="s">
        <v>34</v>
      </c>
      <c r="K26" s="402" t="s">
        <v>34</v>
      </c>
      <c r="L26" s="402" t="s">
        <v>34</v>
      </c>
      <c r="M26" s="402" t="s">
        <v>34</v>
      </c>
      <c r="N26" s="402" t="s">
        <v>34</v>
      </c>
      <c r="O26" s="402" t="s">
        <v>34</v>
      </c>
      <c r="P26" s="402" t="s">
        <v>34</v>
      </c>
      <c r="Q26" s="402" t="s">
        <v>34</v>
      </c>
    </row>
    <row r="27" spans="1:17" ht="13.4" customHeight="1">
      <c r="A27" s="7">
        <f t="shared" si="0"/>
        <v>2019</v>
      </c>
      <c r="B27" s="402">
        <v>3.0630000000000002</v>
      </c>
      <c r="C27" s="402">
        <v>1.5489999999999999</v>
      </c>
      <c r="D27" s="402">
        <v>1.24</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row>
    <row r="28" spans="1:17" ht="13.4" customHeight="1">
      <c r="A28" s="7">
        <f t="shared" si="0"/>
        <v>2020</v>
      </c>
      <c r="B28" s="402">
        <v>2.9590000000000001</v>
      </c>
      <c r="C28" s="402">
        <v>1.544</v>
      </c>
      <c r="D28" s="402" t="s">
        <v>34</v>
      </c>
      <c r="E28" s="402" t="s">
        <v>34</v>
      </c>
      <c r="F28" s="402" t="s">
        <v>34</v>
      </c>
      <c r="G28" s="402" t="s">
        <v>34</v>
      </c>
      <c r="H28" s="402" t="s">
        <v>34</v>
      </c>
      <c r="I28" s="402" t="s">
        <v>34</v>
      </c>
      <c r="J28" s="402" t="s">
        <v>34</v>
      </c>
      <c r="K28" s="402" t="s">
        <v>34</v>
      </c>
      <c r="L28" s="402" t="s">
        <v>34</v>
      </c>
      <c r="M28" s="402" t="s">
        <v>34</v>
      </c>
      <c r="N28" s="402" t="s">
        <v>34</v>
      </c>
      <c r="O28" s="402" t="s">
        <v>34</v>
      </c>
      <c r="P28" s="402" t="s">
        <v>34</v>
      </c>
      <c r="Q28" s="402" t="s">
        <v>34</v>
      </c>
    </row>
    <row r="29" spans="1:17" ht="13.4" customHeight="1">
      <c r="A29" s="7">
        <f>'Exhibit 2.2.1'!A29</f>
        <v>2021</v>
      </c>
      <c r="B29" s="402">
        <v>2.952</v>
      </c>
      <c r="C29" s="402" t="s">
        <v>34</v>
      </c>
      <c r="D29" s="402" t="s">
        <v>34</v>
      </c>
      <c r="E29" s="402" t="s">
        <v>34</v>
      </c>
      <c r="F29" s="402" t="s">
        <v>34</v>
      </c>
      <c r="G29" s="402" t="s">
        <v>34</v>
      </c>
      <c r="H29" s="402" t="s">
        <v>34</v>
      </c>
      <c r="I29" s="402" t="s">
        <v>34</v>
      </c>
      <c r="J29" s="402" t="s">
        <v>34</v>
      </c>
      <c r="K29" s="402" t="s">
        <v>34</v>
      </c>
      <c r="L29" s="402" t="s">
        <v>34</v>
      </c>
      <c r="M29" s="402" t="s">
        <v>34</v>
      </c>
      <c r="N29" s="402" t="s">
        <v>34</v>
      </c>
      <c r="O29" s="402" t="s">
        <v>34</v>
      </c>
      <c r="P29" s="402" t="s">
        <v>34</v>
      </c>
      <c r="Q29" s="402" t="s">
        <v>34</v>
      </c>
    </row>
    <row r="30" spans="1:17" ht="13.4" customHeight="1">
      <c r="A30" s="63"/>
      <c r="B30" s="81"/>
      <c r="C30" s="63"/>
      <c r="D30" s="63"/>
      <c r="E30" s="63"/>
      <c r="F30" s="63"/>
      <c r="G30" s="63"/>
      <c r="H30" s="63"/>
      <c r="I30" s="63"/>
      <c r="J30" s="63"/>
      <c r="K30" s="63"/>
      <c r="L30" s="63"/>
      <c r="M30" s="63"/>
      <c r="N30" s="63"/>
      <c r="O30" s="63"/>
      <c r="P30" s="63"/>
      <c r="Q30" s="102"/>
    </row>
    <row r="31" spans="1:17" ht="13.4" customHeight="1">
      <c r="A31" s="7" t="s">
        <v>20</v>
      </c>
      <c r="B31" s="403">
        <f ca="1">OFFSET(B$30,-COUNTA($B$4:B$4),0)</f>
        <v>2.952</v>
      </c>
      <c r="C31" s="403">
        <f ca="1">OFFSET(C$30,-COUNTA($B$4:C$4),0)</f>
        <v>1.544</v>
      </c>
      <c r="D31" s="403">
        <f ca="1">OFFSET(D$30,-COUNTA($B$4:D$4),0)</f>
        <v>1.24</v>
      </c>
      <c r="E31" s="403">
        <f ca="1">OFFSET(E$30,-COUNTA($B$4:E$4),0)</f>
        <v>1.113</v>
      </c>
      <c r="F31" s="403">
        <f ca="1">OFFSET(F$30,-COUNTA($B$4:F$4),0)</f>
        <v>1.0649999999999999</v>
      </c>
      <c r="G31" s="403">
        <f ca="1">OFFSET(G$30,-COUNTA($B$4:G$4),0)</f>
        <v>1.0429999999999999</v>
      </c>
      <c r="H31" s="403">
        <f ca="1">OFFSET(H$30,-COUNTA($B$4:H$4),0)</f>
        <v>1.026</v>
      </c>
      <c r="I31" s="403">
        <f ca="1">OFFSET(I$30,-COUNTA($B$4:I$4),0)</f>
        <v>1.018</v>
      </c>
      <c r="J31" s="403">
        <f ca="1">AVERAGE(OFFSET(J$28:J$30,-COUNTA($B$4:J$4),0))</f>
        <v>1.0156666666666665</v>
      </c>
      <c r="K31" s="403">
        <f ca="1">AVERAGE(OFFSET(K$28:K$30,-COUNTA($B$4:K$4),0))</f>
        <v>1.0143333333333333</v>
      </c>
      <c r="L31" s="403">
        <f ca="1">AVERAGE(OFFSET(L$28:L$30,-COUNTA($B$4:L$4),0))</f>
        <v>1.0109999999999999</v>
      </c>
      <c r="M31" s="403">
        <f ca="1">AVERAGE(OFFSET(M$28:M$30,-COUNTA($B$4:M$4),0))</f>
        <v>1.0116666666666665</v>
      </c>
      <c r="N31" s="403">
        <f ca="1">AVERAGE(OFFSET(N$28:N$30,-COUNTA($B$4:N$4),0))</f>
        <v>1.0106666666666666</v>
      </c>
      <c r="O31" s="403">
        <f ca="1">AVERAGE(OFFSET(O$28:O$30,-COUNTA($B$4:O$4),0))</f>
        <v>1.0076666666666665</v>
      </c>
      <c r="P31" s="403">
        <f ca="1">AVERAGE(OFFSET(P$28:P$30,-COUNTA($B$4:P$4),0))</f>
        <v>1.0076666666666665</v>
      </c>
      <c r="Q31" s="403">
        <f ca="1">AVERAGE(OFFSET(Q$28:Q$30,-COUNTA($B$4:Q$4),0))</f>
        <v>1.0056666666666667</v>
      </c>
    </row>
    <row r="32" spans="1:17" ht="13.4" customHeight="1">
      <c r="A32" s="7" t="s">
        <v>21</v>
      </c>
      <c r="B32" s="403">
        <f ca="1">C32*B31</f>
        <v>8.2927183250236798</v>
      </c>
      <c r="C32" s="403">
        <f t="shared" ref="C32:P32" ca="1" si="1">D32*C31</f>
        <v>2.8091864244660161</v>
      </c>
      <c r="D32" s="403">
        <f t="shared" ca="1" si="1"/>
        <v>1.8194212593691814</v>
      </c>
      <c r="E32" s="403">
        <f t="shared" ca="1" si="1"/>
        <v>1.4672752091686947</v>
      </c>
      <c r="F32" s="403">
        <f t="shared" ca="1" si="1"/>
        <v>1.318306567087776</v>
      </c>
      <c r="G32" s="403">
        <f t="shared" ca="1" si="1"/>
        <v>1.2378465418664564</v>
      </c>
      <c r="H32" s="403">
        <f t="shared" ca="1" si="1"/>
        <v>1.1868135588364874</v>
      </c>
      <c r="I32" s="403">
        <f t="shared" ca="1" si="1"/>
        <v>1.1567383614390716</v>
      </c>
      <c r="J32" s="403">
        <f t="shared" ca="1" si="1"/>
        <v>1.1362852273468287</v>
      </c>
      <c r="K32" s="403">
        <f t="shared" ca="1" si="1"/>
        <v>1.1187580183920205</v>
      </c>
      <c r="L32" s="403">
        <f t="shared" ca="1" si="1"/>
        <v>1.1029490815563792</v>
      </c>
      <c r="M32" s="403">
        <f t="shared" ca="1" si="1"/>
        <v>1.090948646445479</v>
      </c>
      <c r="N32" s="403">
        <f t="shared" ca="1" si="1"/>
        <v>1.0783676900614292</v>
      </c>
      <c r="O32" s="403">
        <f t="shared" ca="1" si="1"/>
        <v>1.0669865007204116</v>
      </c>
      <c r="P32" s="403">
        <f t="shared" ca="1" si="1"/>
        <v>1.0588685088194625</v>
      </c>
      <c r="Q32" s="403">
        <f ca="1">'Exhibit 2.3.2'!B31*Q31</f>
        <v>1.0508122813292715</v>
      </c>
    </row>
    <row r="33" spans="1:17">
      <c r="A33" s="63"/>
      <c r="B33" s="81"/>
      <c r="C33" s="63"/>
      <c r="D33" s="63"/>
      <c r="E33" s="63"/>
      <c r="F33" s="63"/>
      <c r="G33" s="63"/>
      <c r="H33" s="63"/>
      <c r="I33" s="63"/>
      <c r="J33" s="63"/>
      <c r="K33" s="63"/>
      <c r="L33" s="63"/>
      <c r="M33" s="63"/>
      <c r="N33" s="63"/>
      <c r="O33" s="63"/>
      <c r="P33" s="63"/>
      <c r="Q33" s="63"/>
    </row>
    <row r="34" spans="1:17" ht="12.75" customHeight="1">
      <c r="A34" s="5" t="s">
        <v>22</v>
      </c>
      <c r="B34" s="77" t="s">
        <v>483</v>
      </c>
      <c r="C34" s="143"/>
      <c r="D34" s="143"/>
      <c r="E34" s="143"/>
      <c r="F34" s="143"/>
      <c r="G34" s="143"/>
      <c r="H34" s="143"/>
      <c r="I34" s="143"/>
      <c r="J34" s="143"/>
      <c r="K34" s="143"/>
      <c r="L34" s="143"/>
      <c r="M34" s="143"/>
      <c r="N34" s="143"/>
      <c r="O34" s="143"/>
      <c r="P34" s="143"/>
    </row>
  </sheetData>
  <pageMargins left="0.7" right="0.7" top="0.75" bottom="0.75" header="0.3" footer="0.3"/>
  <pageSetup scale="81" orientation="landscape" blackAndWhite="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W35"/>
  <sheetViews>
    <sheetView zoomScaleNormal="100" zoomScaleSheetLayoutView="130" workbookViewId="0"/>
  </sheetViews>
  <sheetFormatPr defaultColWidth="9.1796875" defaultRowHeight="12.5"/>
  <cols>
    <col min="1" max="1" width="12.81640625" style="56" bestFit="1" customWidth="1"/>
    <col min="2" max="22" width="7.81640625" style="56" customWidth="1"/>
    <col min="23" max="23" width="13.81640625" style="56" customWidth="1"/>
    <col min="24" max="16384" width="9.1796875" style="56"/>
  </cols>
  <sheetData>
    <row r="1" spans="1:23" ht="14.5" customHeight="1">
      <c r="A1" s="220" t="s">
        <v>33</v>
      </c>
      <c r="B1" s="220"/>
      <c r="C1" s="220"/>
      <c r="D1" s="220"/>
      <c r="E1" s="220"/>
      <c r="F1" s="220"/>
      <c r="G1" s="220"/>
      <c r="H1" s="220"/>
      <c r="I1" s="220"/>
      <c r="J1" s="220"/>
      <c r="K1" s="220"/>
      <c r="L1" s="220"/>
      <c r="M1" s="220"/>
      <c r="N1" s="220"/>
      <c r="O1" s="220"/>
      <c r="P1" s="220"/>
      <c r="Q1" s="220"/>
      <c r="R1" s="220"/>
      <c r="S1" s="220"/>
      <c r="T1" s="220"/>
      <c r="U1" s="220"/>
      <c r="V1" s="220"/>
      <c r="W1" s="220"/>
    </row>
    <row r="2" spans="1:23" ht="13">
      <c r="A2" s="343"/>
      <c r="B2" s="128"/>
      <c r="C2" s="356"/>
      <c r="D2" s="356"/>
      <c r="E2" s="356"/>
      <c r="F2" s="356"/>
      <c r="G2" s="356"/>
      <c r="H2" s="356"/>
      <c r="I2" s="356"/>
      <c r="J2" s="356"/>
      <c r="K2" s="356"/>
      <c r="L2" s="356"/>
      <c r="M2" s="356"/>
      <c r="N2" s="356"/>
      <c r="O2" s="356"/>
      <c r="P2" s="356"/>
      <c r="Q2" s="343"/>
      <c r="R2" s="343"/>
      <c r="S2" s="343"/>
      <c r="T2" s="343"/>
      <c r="U2" s="389"/>
      <c r="V2" s="343"/>
      <c r="W2" s="57"/>
    </row>
    <row r="3" spans="1:23">
      <c r="A3" s="343"/>
      <c r="B3" s="222" t="s">
        <v>18</v>
      </c>
      <c r="C3" s="222"/>
      <c r="D3" s="222"/>
      <c r="E3" s="222"/>
      <c r="F3" s="222"/>
      <c r="G3" s="222"/>
      <c r="H3" s="222"/>
      <c r="I3" s="222"/>
      <c r="J3" s="222"/>
      <c r="K3" s="222"/>
      <c r="L3" s="222"/>
      <c r="M3" s="222"/>
      <c r="N3" s="222"/>
      <c r="O3" s="222"/>
      <c r="P3" s="222"/>
      <c r="Q3" s="222"/>
      <c r="R3" s="222"/>
      <c r="S3" s="222"/>
      <c r="T3" s="222"/>
      <c r="U3" s="222"/>
      <c r="V3" s="222"/>
      <c r="W3" s="222"/>
    </row>
    <row r="4" spans="1:23">
      <c r="A4" s="216" t="s">
        <v>19</v>
      </c>
      <c r="B4" s="216" t="s">
        <v>523</v>
      </c>
      <c r="C4" s="216" t="s">
        <v>524</v>
      </c>
      <c r="D4" s="216" t="s">
        <v>525</v>
      </c>
      <c r="E4" s="216" t="s">
        <v>526</v>
      </c>
      <c r="F4" s="216" t="s">
        <v>527</v>
      </c>
      <c r="G4" s="216" t="s">
        <v>528</v>
      </c>
      <c r="H4" s="216" t="s">
        <v>529</v>
      </c>
      <c r="I4" s="216" t="s">
        <v>530</v>
      </c>
      <c r="J4" s="216" t="s">
        <v>531</v>
      </c>
      <c r="K4" s="216" t="s">
        <v>532</v>
      </c>
      <c r="L4" s="216" t="s">
        <v>533</v>
      </c>
      <c r="M4" s="216" t="s">
        <v>534</v>
      </c>
      <c r="N4" s="216" t="s">
        <v>535</v>
      </c>
      <c r="O4" s="216" t="s">
        <v>536</v>
      </c>
      <c r="P4" s="216" t="s">
        <v>537</v>
      </c>
      <c r="Q4" s="216" t="s">
        <v>538</v>
      </c>
      <c r="R4" s="216" t="s">
        <v>539</v>
      </c>
      <c r="S4" s="216" t="s">
        <v>540</v>
      </c>
      <c r="T4" s="216" t="s">
        <v>541</v>
      </c>
      <c r="U4" s="216" t="s">
        <v>542</v>
      </c>
      <c r="V4" s="216" t="s">
        <v>543</v>
      </c>
      <c r="W4" s="216" t="s">
        <v>546</v>
      </c>
    </row>
    <row r="5" spans="1:23">
      <c r="A5" s="213">
        <f t="shared" ref="A5:A26" si="0">+A6-1</f>
        <v>1983</v>
      </c>
      <c r="B5" s="402" t="s">
        <v>34</v>
      </c>
      <c r="C5" s="402" t="s">
        <v>34</v>
      </c>
      <c r="D5" s="402" t="s">
        <v>34</v>
      </c>
      <c r="E5" s="402" t="s">
        <v>34</v>
      </c>
      <c r="F5" s="402" t="s">
        <v>34</v>
      </c>
      <c r="G5" s="402" t="s">
        <v>34</v>
      </c>
      <c r="H5" s="402" t="s">
        <v>34</v>
      </c>
      <c r="I5" s="402" t="s">
        <v>34</v>
      </c>
      <c r="J5" s="402" t="s">
        <v>34</v>
      </c>
      <c r="K5" s="402">
        <v>1.0009999999999999</v>
      </c>
      <c r="L5" s="402">
        <v>1.0009999999999999</v>
      </c>
      <c r="M5" s="402">
        <v>1.0009999999999999</v>
      </c>
      <c r="N5" s="402">
        <v>1.0009999999999999</v>
      </c>
      <c r="O5" s="402">
        <v>1.0009999999999999</v>
      </c>
      <c r="P5" s="402">
        <v>1.0009999999999999</v>
      </c>
      <c r="Q5" s="402">
        <v>1.0009999999999999</v>
      </c>
      <c r="R5" s="402">
        <v>1.0009999999999999</v>
      </c>
      <c r="S5" s="402">
        <v>1.0009999999999999</v>
      </c>
      <c r="T5" s="402">
        <v>1.0009999999999999</v>
      </c>
      <c r="U5" s="402">
        <v>1.0009999999999999</v>
      </c>
      <c r="V5" s="402">
        <v>1</v>
      </c>
      <c r="W5" s="402"/>
    </row>
    <row r="6" spans="1:23">
      <c r="A6" s="213">
        <f t="shared" si="0"/>
        <v>1984</v>
      </c>
      <c r="B6" s="402" t="s">
        <v>34</v>
      </c>
      <c r="C6" s="402" t="s">
        <v>34</v>
      </c>
      <c r="D6" s="402" t="s">
        <v>34</v>
      </c>
      <c r="E6" s="402" t="s">
        <v>34</v>
      </c>
      <c r="F6" s="402" t="s">
        <v>34</v>
      </c>
      <c r="G6" s="402" t="s">
        <v>34</v>
      </c>
      <c r="H6" s="402" t="s">
        <v>34</v>
      </c>
      <c r="I6" s="402" t="s">
        <v>34</v>
      </c>
      <c r="J6" s="402">
        <v>1.0009999999999999</v>
      </c>
      <c r="K6" s="402">
        <v>1.0009999999999999</v>
      </c>
      <c r="L6" s="402">
        <v>1.0009999999999999</v>
      </c>
      <c r="M6" s="402">
        <v>1.0009999999999999</v>
      </c>
      <c r="N6" s="402">
        <v>1.0009999999999999</v>
      </c>
      <c r="O6" s="402">
        <v>1.0009999999999999</v>
      </c>
      <c r="P6" s="402">
        <v>1</v>
      </c>
      <c r="Q6" s="402">
        <v>1.0009999999999999</v>
      </c>
      <c r="R6" s="402">
        <v>1</v>
      </c>
      <c r="S6" s="402">
        <v>1.0009999999999999</v>
      </c>
      <c r="T6" s="402">
        <v>1.0009999999999999</v>
      </c>
      <c r="U6" s="402">
        <v>1</v>
      </c>
      <c r="V6" s="402">
        <v>1.0009999999999999</v>
      </c>
      <c r="W6" s="402"/>
    </row>
    <row r="7" spans="1:23">
      <c r="A7" s="213">
        <f t="shared" si="0"/>
        <v>1985</v>
      </c>
      <c r="B7" s="402" t="s">
        <v>34</v>
      </c>
      <c r="C7" s="402" t="s">
        <v>34</v>
      </c>
      <c r="D7" s="402" t="s">
        <v>34</v>
      </c>
      <c r="E7" s="402" t="s">
        <v>34</v>
      </c>
      <c r="F7" s="402" t="s">
        <v>34</v>
      </c>
      <c r="G7" s="402" t="s">
        <v>34</v>
      </c>
      <c r="H7" s="402" t="s">
        <v>34</v>
      </c>
      <c r="I7" s="402">
        <v>1.0009999999999999</v>
      </c>
      <c r="J7" s="402">
        <v>1.0009999999999999</v>
      </c>
      <c r="K7" s="402">
        <v>1.0009999999999999</v>
      </c>
      <c r="L7" s="402">
        <v>1.0009999999999999</v>
      </c>
      <c r="M7" s="402">
        <v>1.002</v>
      </c>
      <c r="N7" s="402">
        <v>1.0009999999999999</v>
      </c>
      <c r="O7" s="402">
        <v>1.0009999999999999</v>
      </c>
      <c r="P7" s="402">
        <v>1.0009999999999999</v>
      </c>
      <c r="Q7" s="402">
        <v>1.0009999999999999</v>
      </c>
      <c r="R7" s="402">
        <v>1</v>
      </c>
      <c r="S7" s="402">
        <v>1</v>
      </c>
      <c r="T7" s="402">
        <v>1</v>
      </c>
      <c r="U7" s="402">
        <v>1.0009999999999999</v>
      </c>
      <c r="V7" s="402">
        <v>1</v>
      </c>
      <c r="W7" s="402"/>
    </row>
    <row r="8" spans="1:23">
      <c r="A8" s="213">
        <f t="shared" si="0"/>
        <v>1986</v>
      </c>
      <c r="B8" s="402" t="s">
        <v>34</v>
      </c>
      <c r="C8" s="402" t="s">
        <v>34</v>
      </c>
      <c r="D8" s="402" t="s">
        <v>34</v>
      </c>
      <c r="E8" s="402" t="s">
        <v>34</v>
      </c>
      <c r="F8" s="402" t="s">
        <v>34</v>
      </c>
      <c r="G8" s="402" t="s">
        <v>34</v>
      </c>
      <c r="H8" s="402">
        <v>1.0009999999999999</v>
      </c>
      <c r="I8" s="402">
        <v>1.0009999999999999</v>
      </c>
      <c r="J8" s="402">
        <v>1.0009999999999999</v>
      </c>
      <c r="K8" s="402">
        <v>1.0009999999999999</v>
      </c>
      <c r="L8" s="402">
        <v>1.0009999999999999</v>
      </c>
      <c r="M8" s="402">
        <v>1.0009999999999999</v>
      </c>
      <c r="N8" s="402">
        <v>1.0009999999999999</v>
      </c>
      <c r="O8" s="402">
        <v>1.0009999999999999</v>
      </c>
      <c r="P8" s="402">
        <v>1.0009999999999999</v>
      </c>
      <c r="Q8" s="402">
        <v>1</v>
      </c>
      <c r="R8" s="402">
        <v>1.0009999999999999</v>
      </c>
      <c r="S8" s="402">
        <v>1.0009999999999999</v>
      </c>
      <c r="T8" s="402">
        <v>1</v>
      </c>
      <c r="U8" s="402">
        <v>1</v>
      </c>
      <c r="V8" s="402" t="s">
        <v>34</v>
      </c>
      <c r="W8" s="402"/>
    </row>
    <row r="9" spans="1:23">
      <c r="A9" s="213">
        <f t="shared" si="0"/>
        <v>1987</v>
      </c>
      <c r="B9" s="402" t="s">
        <v>34</v>
      </c>
      <c r="C9" s="402" t="s">
        <v>34</v>
      </c>
      <c r="D9" s="402" t="s">
        <v>34</v>
      </c>
      <c r="E9" s="402" t="s">
        <v>34</v>
      </c>
      <c r="F9" s="402" t="s">
        <v>34</v>
      </c>
      <c r="G9" s="402">
        <v>1.0009999999999999</v>
      </c>
      <c r="H9" s="402">
        <v>1.0009999999999999</v>
      </c>
      <c r="I9" s="402">
        <v>1.0009999999999999</v>
      </c>
      <c r="J9" s="402">
        <v>1.002</v>
      </c>
      <c r="K9" s="402">
        <v>1.0009999999999999</v>
      </c>
      <c r="L9" s="402">
        <v>1.0009999999999999</v>
      </c>
      <c r="M9" s="402">
        <v>1.0009999999999999</v>
      </c>
      <c r="N9" s="402">
        <v>1.0009999999999999</v>
      </c>
      <c r="O9" s="402">
        <v>1.0009999999999999</v>
      </c>
      <c r="P9" s="402">
        <v>1.0009999999999999</v>
      </c>
      <c r="Q9" s="402">
        <v>1.0009999999999999</v>
      </c>
      <c r="R9" s="402">
        <v>1.0009999999999999</v>
      </c>
      <c r="S9" s="402">
        <v>1</v>
      </c>
      <c r="T9" s="402">
        <v>1</v>
      </c>
      <c r="U9" s="402" t="s">
        <v>34</v>
      </c>
      <c r="V9" s="402" t="s">
        <v>34</v>
      </c>
      <c r="W9" s="402"/>
    </row>
    <row r="10" spans="1:23">
      <c r="A10" s="213">
        <f t="shared" si="0"/>
        <v>1988</v>
      </c>
      <c r="B10" s="402" t="s">
        <v>34</v>
      </c>
      <c r="C10" s="402" t="s">
        <v>34</v>
      </c>
      <c r="D10" s="402" t="s">
        <v>34</v>
      </c>
      <c r="E10" s="402" t="s">
        <v>34</v>
      </c>
      <c r="F10" s="402">
        <v>1.0009999999999999</v>
      </c>
      <c r="G10" s="402">
        <v>1.0009999999999999</v>
      </c>
      <c r="H10" s="402">
        <v>1.002</v>
      </c>
      <c r="I10" s="402">
        <v>1.0009999999999999</v>
      </c>
      <c r="J10" s="402">
        <v>1.0009999999999999</v>
      </c>
      <c r="K10" s="402">
        <v>1.0009999999999999</v>
      </c>
      <c r="L10" s="402">
        <v>1.0009999999999999</v>
      </c>
      <c r="M10" s="402">
        <v>1.0009999999999999</v>
      </c>
      <c r="N10" s="402">
        <v>1.0009999999999999</v>
      </c>
      <c r="O10" s="402">
        <v>1.0009999999999999</v>
      </c>
      <c r="P10" s="402">
        <v>1.0009999999999999</v>
      </c>
      <c r="Q10" s="402">
        <v>1.0009999999999999</v>
      </c>
      <c r="R10" s="402">
        <v>1.0009999999999999</v>
      </c>
      <c r="S10" s="402">
        <v>1.0009999999999999</v>
      </c>
      <c r="T10" s="402" t="s">
        <v>34</v>
      </c>
      <c r="U10" s="402" t="s">
        <v>34</v>
      </c>
      <c r="V10" s="402" t="s">
        <v>34</v>
      </c>
      <c r="W10" s="402"/>
    </row>
    <row r="11" spans="1:23">
      <c r="A11" s="213">
        <f t="shared" si="0"/>
        <v>1989</v>
      </c>
      <c r="B11" s="402" t="s">
        <v>34</v>
      </c>
      <c r="C11" s="402" t="s">
        <v>34</v>
      </c>
      <c r="D11" s="402" t="s">
        <v>34</v>
      </c>
      <c r="E11" s="402">
        <v>1.0009999999999999</v>
      </c>
      <c r="F11" s="402">
        <v>1.0009999999999999</v>
      </c>
      <c r="G11" s="402">
        <v>1.0009999999999999</v>
      </c>
      <c r="H11" s="402">
        <v>1.0009999999999999</v>
      </c>
      <c r="I11" s="402">
        <v>1.0009999999999999</v>
      </c>
      <c r="J11" s="402">
        <v>1.0009999999999999</v>
      </c>
      <c r="K11" s="402">
        <v>1.0009999999999999</v>
      </c>
      <c r="L11" s="402">
        <v>1.0009999999999999</v>
      </c>
      <c r="M11" s="402">
        <v>1.0009999999999999</v>
      </c>
      <c r="N11" s="402">
        <v>1.0009999999999999</v>
      </c>
      <c r="O11" s="402">
        <v>1.0009999999999999</v>
      </c>
      <c r="P11" s="402">
        <v>1</v>
      </c>
      <c r="Q11" s="402">
        <v>1</v>
      </c>
      <c r="R11" s="402">
        <v>1</v>
      </c>
      <c r="S11" s="402" t="s">
        <v>34</v>
      </c>
      <c r="T11" s="402" t="s">
        <v>34</v>
      </c>
      <c r="U11" s="402" t="s">
        <v>34</v>
      </c>
      <c r="V11" s="402" t="s">
        <v>34</v>
      </c>
      <c r="W11" s="402"/>
    </row>
    <row r="12" spans="1:23">
      <c r="A12" s="213">
        <f t="shared" si="0"/>
        <v>1990</v>
      </c>
      <c r="B12" s="402" t="s">
        <v>34</v>
      </c>
      <c r="C12" s="402" t="s">
        <v>34</v>
      </c>
      <c r="D12" s="402">
        <v>1.0009999999999999</v>
      </c>
      <c r="E12" s="402">
        <v>1.0009999999999999</v>
      </c>
      <c r="F12" s="402">
        <v>1.0009999999999999</v>
      </c>
      <c r="G12" s="402">
        <v>1.0009999999999999</v>
      </c>
      <c r="H12" s="402">
        <v>1.0009999999999999</v>
      </c>
      <c r="I12" s="402">
        <v>1.0009999999999999</v>
      </c>
      <c r="J12" s="402">
        <v>1.0009999999999999</v>
      </c>
      <c r="K12" s="402">
        <v>1</v>
      </c>
      <c r="L12" s="402">
        <v>1</v>
      </c>
      <c r="M12" s="402">
        <v>1.0009999999999999</v>
      </c>
      <c r="N12" s="402">
        <v>1.0009999999999999</v>
      </c>
      <c r="O12" s="402">
        <v>1.0009999999999999</v>
      </c>
      <c r="P12" s="402">
        <v>1.0009999999999999</v>
      </c>
      <c r="Q12" s="402">
        <v>1</v>
      </c>
      <c r="R12" s="402" t="s">
        <v>34</v>
      </c>
      <c r="S12" s="402" t="s">
        <v>34</v>
      </c>
      <c r="T12" s="402" t="s">
        <v>34</v>
      </c>
      <c r="U12" s="402" t="s">
        <v>34</v>
      </c>
      <c r="V12" s="402" t="s">
        <v>34</v>
      </c>
      <c r="W12" s="402"/>
    </row>
    <row r="13" spans="1:23">
      <c r="A13" s="213">
        <f t="shared" si="0"/>
        <v>1991</v>
      </c>
      <c r="B13" s="402" t="s">
        <v>34</v>
      </c>
      <c r="C13" s="402">
        <v>1.002</v>
      </c>
      <c r="D13" s="402">
        <v>1.0009999999999999</v>
      </c>
      <c r="E13" s="402">
        <v>1.0009999999999999</v>
      </c>
      <c r="F13" s="402">
        <v>1.002</v>
      </c>
      <c r="G13" s="402">
        <v>1.0009999999999999</v>
      </c>
      <c r="H13" s="402">
        <v>1.0009999999999999</v>
      </c>
      <c r="I13" s="402">
        <v>1.0009999999999999</v>
      </c>
      <c r="J13" s="402">
        <v>1.0009999999999999</v>
      </c>
      <c r="K13" s="402">
        <v>1.0009999999999999</v>
      </c>
      <c r="L13" s="402">
        <v>1.0009999999999999</v>
      </c>
      <c r="M13" s="402">
        <v>1.0009999999999999</v>
      </c>
      <c r="N13" s="402">
        <v>1.0009999999999999</v>
      </c>
      <c r="O13" s="402">
        <v>1.0009999999999999</v>
      </c>
      <c r="P13" s="402">
        <v>1.0009999999999999</v>
      </c>
      <c r="Q13" s="402" t="s">
        <v>34</v>
      </c>
      <c r="R13" s="402" t="s">
        <v>34</v>
      </c>
      <c r="S13" s="402" t="s">
        <v>34</v>
      </c>
      <c r="T13" s="402" t="s">
        <v>34</v>
      </c>
      <c r="U13" s="402" t="s">
        <v>34</v>
      </c>
      <c r="V13" s="402" t="s">
        <v>34</v>
      </c>
      <c r="W13" s="402"/>
    </row>
    <row r="14" spans="1:23">
      <c r="A14" s="213">
        <f t="shared" si="0"/>
        <v>1992</v>
      </c>
      <c r="B14" s="402">
        <v>1.002</v>
      </c>
      <c r="C14" s="402">
        <v>1.002</v>
      </c>
      <c r="D14" s="402">
        <v>1.002</v>
      </c>
      <c r="E14" s="402">
        <v>1.002</v>
      </c>
      <c r="F14" s="402">
        <v>1.002</v>
      </c>
      <c r="G14" s="402">
        <v>1.0009999999999999</v>
      </c>
      <c r="H14" s="402">
        <v>1.0009999999999999</v>
      </c>
      <c r="I14" s="402">
        <v>1.0009999999999999</v>
      </c>
      <c r="J14" s="402">
        <v>1.0009999999999999</v>
      </c>
      <c r="K14" s="402">
        <v>1.0009999999999999</v>
      </c>
      <c r="L14" s="402">
        <v>1.0009999999999999</v>
      </c>
      <c r="M14" s="402">
        <v>1.0009999999999999</v>
      </c>
      <c r="N14" s="402">
        <v>1.0009999999999999</v>
      </c>
      <c r="O14" s="402">
        <v>1.0009999999999999</v>
      </c>
      <c r="P14" s="402" t="s">
        <v>34</v>
      </c>
      <c r="Q14" s="402" t="s">
        <v>34</v>
      </c>
      <c r="R14" s="402" t="s">
        <v>34</v>
      </c>
      <c r="S14" s="402" t="s">
        <v>34</v>
      </c>
      <c r="T14" s="402" t="s">
        <v>34</v>
      </c>
      <c r="U14" s="402" t="s">
        <v>34</v>
      </c>
      <c r="V14" s="402" t="s">
        <v>34</v>
      </c>
      <c r="W14" s="402"/>
    </row>
    <row r="15" spans="1:23">
      <c r="A15" s="213">
        <f t="shared" si="0"/>
        <v>1993</v>
      </c>
      <c r="B15" s="402">
        <v>1.002</v>
      </c>
      <c r="C15" s="402">
        <v>1.0029999999999999</v>
      </c>
      <c r="D15" s="402">
        <v>1.0029999999999999</v>
      </c>
      <c r="E15" s="402">
        <v>1.002</v>
      </c>
      <c r="F15" s="402">
        <v>1.002</v>
      </c>
      <c r="G15" s="402">
        <v>1.0009999999999999</v>
      </c>
      <c r="H15" s="402">
        <v>1.0009999999999999</v>
      </c>
      <c r="I15" s="402">
        <v>1.0009999999999999</v>
      </c>
      <c r="J15" s="402">
        <v>1.0009999999999999</v>
      </c>
      <c r="K15" s="402">
        <v>1.0009999999999999</v>
      </c>
      <c r="L15" s="402">
        <v>1.0009999999999999</v>
      </c>
      <c r="M15" s="402">
        <v>1.0009999999999999</v>
      </c>
      <c r="N15" s="402">
        <v>1.0009999999999999</v>
      </c>
      <c r="O15" s="402" t="s">
        <v>34</v>
      </c>
      <c r="P15" s="402" t="s">
        <v>34</v>
      </c>
      <c r="Q15" s="402" t="s">
        <v>34</v>
      </c>
      <c r="R15" s="402" t="s">
        <v>34</v>
      </c>
      <c r="S15" s="402" t="s">
        <v>34</v>
      </c>
      <c r="T15" s="402" t="s">
        <v>34</v>
      </c>
      <c r="U15" s="402" t="s">
        <v>34</v>
      </c>
      <c r="V15" s="402" t="s">
        <v>34</v>
      </c>
      <c r="W15" s="402"/>
    </row>
    <row r="16" spans="1:23">
      <c r="A16" s="213">
        <f t="shared" si="0"/>
        <v>1994</v>
      </c>
      <c r="B16" s="402">
        <v>1.004</v>
      </c>
      <c r="C16" s="402">
        <v>1.0029999999999999</v>
      </c>
      <c r="D16" s="402">
        <v>1.0029999999999999</v>
      </c>
      <c r="E16" s="402">
        <v>1.0029999999999999</v>
      </c>
      <c r="F16" s="402">
        <v>1.002</v>
      </c>
      <c r="G16" s="402">
        <v>1.002</v>
      </c>
      <c r="H16" s="402">
        <v>1.002</v>
      </c>
      <c r="I16" s="402">
        <v>1.0009999999999999</v>
      </c>
      <c r="J16" s="402">
        <v>1.0009999999999999</v>
      </c>
      <c r="K16" s="402">
        <v>1.0009999999999999</v>
      </c>
      <c r="L16" s="402">
        <v>1.002</v>
      </c>
      <c r="M16" s="402">
        <v>1.0009999999999999</v>
      </c>
      <c r="N16" s="402" t="s">
        <v>34</v>
      </c>
      <c r="O16" s="402" t="s">
        <v>34</v>
      </c>
      <c r="P16" s="402" t="s">
        <v>34</v>
      </c>
      <c r="Q16" s="402" t="s">
        <v>34</v>
      </c>
      <c r="R16" s="402" t="s">
        <v>34</v>
      </c>
      <c r="S16" s="402" t="s">
        <v>34</v>
      </c>
      <c r="T16" s="402" t="s">
        <v>34</v>
      </c>
      <c r="U16" s="402" t="s">
        <v>34</v>
      </c>
      <c r="V16" s="402" t="s">
        <v>34</v>
      </c>
      <c r="W16" s="402"/>
    </row>
    <row r="17" spans="1:23">
      <c r="A17" s="213">
        <f t="shared" si="0"/>
        <v>1995</v>
      </c>
      <c r="B17" s="402">
        <v>1.0049999999999999</v>
      </c>
      <c r="C17" s="402">
        <v>1.0049999999999999</v>
      </c>
      <c r="D17" s="402">
        <v>1.0029999999999999</v>
      </c>
      <c r="E17" s="402">
        <v>1.0029999999999999</v>
      </c>
      <c r="F17" s="402">
        <v>1.002</v>
      </c>
      <c r="G17" s="402">
        <v>1.002</v>
      </c>
      <c r="H17" s="402">
        <v>1.002</v>
      </c>
      <c r="I17" s="402">
        <v>1.0029999999999999</v>
      </c>
      <c r="J17" s="402">
        <v>1.002</v>
      </c>
      <c r="K17" s="402">
        <v>1.002</v>
      </c>
      <c r="L17" s="402">
        <v>1.002</v>
      </c>
      <c r="M17" s="402" t="s">
        <v>34</v>
      </c>
      <c r="N17" s="402" t="s">
        <v>34</v>
      </c>
      <c r="O17" s="402" t="s">
        <v>34</v>
      </c>
      <c r="P17" s="402" t="s">
        <v>34</v>
      </c>
      <c r="Q17" s="402" t="s">
        <v>34</v>
      </c>
      <c r="R17" s="402" t="s">
        <v>34</v>
      </c>
      <c r="S17" s="402" t="s">
        <v>34</v>
      </c>
      <c r="T17" s="402" t="s">
        <v>34</v>
      </c>
      <c r="U17" s="402" t="s">
        <v>34</v>
      </c>
      <c r="V17" s="402" t="s">
        <v>34</v>
      </c>
      <c r="W17" s="402"/>
    </row>
    <row r="18" spans="1:23">
      <c r="A18" s="213">
        <f t="shared" si="0"/>
        <v>1996</v>
      </c>
      <c r="B18" s="402">
        <v>1.0049999999999999</v>
      </c>
      <c r="C18" s="402">
        <v>1.004</v>
      </c>
      <c r="D18" s="402">
        <v>1.0029999999999999</v>
      </c>
      <c r="E18" s="402">
        <v>1.0029999999999999</v>
      </c>
      <c r="F18" s="402">
        <v>1.002</v>
      </c>
      <c r="G18" s="402">
        <v>1.0029999999999999</v>
      </c>
      <c r="H18" s="402">
        <v>1.0029999999999999</v>
      </c>
      <c r="I18" s="402">
        <v>1.002</v>
      </c>
      <c r="J18" s="402">
        <v>1.002</v>
      </c>
      <c r="K18" s="402">
        <v>1.002</v>
      </c>
      <c r="L18" s="402" t="s">
        <v>34</v>
      </c>
      <c r="M18" s="402" t="s">
        <v>34</v>
      </c>
      <c r="N18" s="402" t="s">
        <v>34</v>
      </c>
      <c r="O18" s="402" t="s">
        <v>34</v>
      </c>
      <c r="P18" s="402" t="s">
        <v>34</v>
      </c>
      <c r="Q18" s="402" t="s">
        <v>34</v>
      </c>
      <c r="R18" s="402" t="s">
        <v>34</v>
      </c>
      <c r="S18" s="402" t="s">
        <v>34</v>
      </c>
      <c r="T18" s="402" t="s">
        <v>34</v>
      </c>
      <c r="U18" s="402" t="s">
        <v>34</v>
      </c>
      <c r="V18" s="402" t="s">
        <v>34</v>
      </c>
      <c r="W18" s="402"/>
    </row>
    <row r="19" spans="1:23">
      <c r="A19" s="213">
        <f t="shared" si="0"/>
        <v>1997</v>
      </c>
      <c r="B19" s="402">
        <v>1.004</v>
      </c>
      <c r="C19" s="402">
        <v>1.0029999999999999</v>
      </c>
      <c r="D19" s="402">
        <v>1.0029999999999999</v>
      </c>
      <c r="E19" s="402">
        <v>1.002</v>
      </c>
      <c r="F19" s="402">
        <v>1.0029999999999999</v>
      </c>
      <c r="G19" s="402">
        <v>1.0029999999999999</v>
      </c>
      <c r="H19" s="402">
        <v>1.0029999999999999</v>
      </c>
      <c r="I19" s="402">
        <v>1.002</v>
      </c>
      <c r="J19" s="402">
        <v>1.002</v>
      </c>
      <c r="K19" s="402" t="s">
        <v>34</v>
      </c>
      <c r="L19" s="402" t="s">
        <v>34</v>
      </c>
      <c r="M19" s="402" t="s">
        <v>34</v>
      </c>
      <c r="N19" s="402" t="s">
        <v>34</v>
      </c>
      <c r="O19" s="402" t="s">
        <v>34</v>
      </c>
      <c r="P19" s="402" t="s">
        <v>34</v>
      </c>
      <c r="Q19" s="402" t="s">
        <v>34</v>
      </c>
      <c r="R19" s="402" t="s">
        <v>34</v>
      </c>
      <c r="S19" s="402" t="s">
        <v>34</v>
      </c>
      <c r="T19" s="402" t="s">
        <v>34</v>
      </c>
      <c r="U19" s="402" t="s">
        <v>34</v>
      </c>
      <c r="V19" s="402" t="s">
        <v>34</v>
      </c>
      <c r="W19" s="402"/>
    </row>
    <row r="20" spans="1:23">
      <c r="A20" s="213">
        <f t="shared" si="0"/>
        <v>1998</v>
      </c>
      <c r="B20" s="402">
        <v>1.006</v>
      </c>
      <c r="C20" s="402">
        <v>1.004</v>
      </c>
      <c r="D20" s="402">
        <v>1.0029999999999999</v>
      </c>
      <c r="E20" s="402">
        <v>1.0029999999999999</v>
      </c>
      <c r="F20" s="402">
        <v>1.0029999999999999</v>
      </c>
      <c r="G20" s="402">
        <v>1.0029999999999999</v>
      </c>
      <c r="H20" s="402">
        <v>1.002</v>
      </c>
      <c r="I20" s="402">
        <v>1.002</v>
      </c>
      <c r="J20" s="402" t="s">
        <v>34</v>
      </c>
      <c r="K20" s="402" t="s">
        <v>34</v>
      </c>
      <c r="L20" s="402" t="s">
        <v>34</v>
      </c>
      <c r="M20" s="402" t="s">
        <v>34</v>
      </c>
      <c r="N20" s="402" t="s">
        <v>34</v>
      </c>
      <c r="O20" s="402" t="s">
        <v>34</v>
      </c>
      <c r="P20" s="402" t="s">
        <v>34</v>
      </c>
      <c r="Q20" s="402" t="s">
        <v>34</v>
      </c>
      <c r="R20" s="402" t="s">
        <v>34</v>
      </c>
      <c r="S20" s="402" t="s">
        <v>34</v>
      </c>
      <c r="T20" s="402" t="s">
        <v>34</v>
      </c>
      <c r="U20" s="402" t="s">
        <v>34</v>
      </c>
      <c r="V20" s="402" t="s">
        <v>34</v>
      </c>
      <c r="W20" s="402"/>
    </row>
    <row r="21" spans="1:23">
      <c r="A21" s="213">
        <f t="shared" si="0"/>
        <v>1999</v>
      </c>
      <c r="B21" s="402">
        <v>1.004</v>
      </c>
      <c r="C21" s="402">
        <v>1.0029999999999999</v>
      </c>
      <c r="D21" s="402">
        <v>1.0029999999999999</v>
      </c>
      <c r="E21" s="402">
        <v>1.0029999999999999</v>
      </c>
      <c r="F21" s="402">
        <v>1.002</v>
      </c>
      <c r="G21" s="402">
        <v>1.002</v>
      </c>
      <c r="H21" s="402">
        <v>1.002</v>
      </c>
      <c r="I21" s="402" t="s">
        <v>34</v>
      </c>
      <c r="J21" s="402" t="s">
        <v>34</v>
      </c>
      <c r="K21" s="402" t="s">
        <v>34</v>
      </c>
      <c r="L21" s="402" t="s">
        <v>34</v>
      </c>
      <c r="M21" s="402" t="s">
        <v>34</v>
      </c>
      <c r="N21" s="402" t="s">
        <v>34</v>
      </c>
      <c r="O21" s="402" t="s">
        <v>34</v>
      </c>
      <c r="P21" s="402" t="s">
        <v>34</v>
      </c>
      <c r="Q21" s="402" t="s">
        <v>34</v>
      </c>
      <c r="R21" s="402" t="s">
        <v>34</v>
      </c>
      <c r="S21" s="402" t="s">
        <v>34</v>
      </c>
      <c r="T21" s="402" t="s">
        <v>34</v>
      </c>
      <c r="U21" s="402" t="s">
        <v>34</v>
      </c>
      <c r="V21" s="402" t="s">
        <v>34</v>
      </c>
      <c r="W21" s="402"/>
    </row>
    <row r="22" spans="1:23">
      <c r="A22" s="213">
        <f t="shared" si="0"/>
        <v>2000</v>
      </c>
      <c r="B22" s="402">
        <v>1.004</v>
      </c>
      <c r="C22" s="402">
        <v>1.004</v>
      </c>
      <c r="D22" s="402">
        <v>1.0029999999999999</v>
      </c>
      <c r="E22" s="402">
        <v>1.002</v>
      </c>
      <c r="F22" s="402">
        <v>1.002</v>
      </c>
      <c r="G22" s="402">
        <v>1.002</v>
      </c>
      <c r="H22" s="402" t="s">
        <v>34</v>
      </c>
      <c r="I22" s="402" t="s">
        <v>34</v>
      </c>
      <c r="J22" s="402" t="s">
        <v>34</v>
      </c>
      <c r="K22" s="402" t="s">
        <v>34</v>
      </c>
      <c r="L22" s="402" t="s">
        <v>34</v>
      </c>
      <c r="M22" s="402" t="s">
        <v>34</v>
      </c>
      <c r="N22" s="402" t="s">
        <v>34</v>
      </c>
      <c r="O22" s="402" t="s">
        <v>34</v>
      </c>
      <c r="P22" s="402" t="s">
        <v>34</v>
      </c>
      <c r="Q22" s="402" t="s">
        <v>34</v>
      </c>
      <c r="R22" s="402" t="s">
        <v>34</v>
      </c>
      <c r="S22" s="402" t="s">
        <v>34</v>
      </c>
      <c r="T22" s="402" t="s">
        <v>34</v>
      </c>
      <c r="U22" s="402" t="s">
        <v>34</v>
      </c>
      <c r="V22" s="402" t="s">
        <v>34</v>
      </c>
      <c r="W22" s="402"/>
    </row>
    <row r="23" spans="1:23">
      <c r="A23" s="213">
        <f t="shared" si="0"/>
        <v>2001</v>
      </c>
      <c r="B23" s="402">
        <v>1.0049999999999999</v>
      </c>
      <c r="C23" s="402">
        <v>1.0049999999999999</v>
      </c>
      <c r="D23" s="402">
        <v>1.004</v>
      </c>
      <c r="E23" s="402">
        <v>1.0029999999999999</v>
      </c>
      <c r="F23" s="402">
        <v>1.002</v>
      </c>
      <c r="G23" s="402" t="s">
        <v>34</v>
      </c>
      <c r="H23" s="402" t="s">
        <v>34</v>
      </c>
      <c r="I23" s="402" t="s">
        <v>34</v>
      </c>
      <c r="J23" s="402" t="s">
        <v>34</v>
      </c>
      <c r="K23" s="402" t="s">
        <v>34</v>
      </c>
      <c r="L23" s="402" t="s">
        <v>34</v>
      </c>
      <c r="M23" s="402" t="s">
        <v>34</v>
      </c>
      <c r="N23" s="402" t="s">
        <v>34</v>
      </c>
      <c r="O23" s="402" t="s">
        <v>34</v>
      </c>
      <c r="P23" s="402" t="s">
        <v>34</v>
      </c>
      <c r="Q23" s="402" t="s">
        <v>34</v>
      </c>
      <c r="R23" s="402" t="s">
        <v>34</v>
      </c>
      <c r="S23" s="402" t="s">
        <v>34</v>
      </c>
      <c r="T23" s="402" t="s">
        <v>34</v>
      </c>
      <c r="U23" s="402" t="s">
        <v>34</v>
      </c>
      <c r="V23" s="402" t="s">
        <v>34</v>
      </c>
      <c r="W23" s="402"/>
    </row>
    <row r="24" spans="1:23">
      <c r="A24" s="213">
        <f t="shared" si="0"/>
        <v>2002</v>
      </c>
      <c r="B24" s="402">
        <v>1.004</v>
      </c>
      <c r="C24" s="402">
        <v>1.004</v>
      </c>
      <c r="D24" s="402">
        <v>1.0029999999999999</v>
      </c>
      <c r="E24" s="402">
        <v>1.002</v>
      </c>
      <c r="F24" s="402" t="s">
        <v>34</v>
      </c>
      <c r="G24" s="402" t="s">
        <v>34</v>
      </c>
      <c r="H24" s="402" t="s">
        <v>34</v>
      </c>
      <c r="I24" s="402" t="s">
        <v>34</v>
      </c>
      <c r="J24" s="402" t="s">
        <v>34</v>
      </c>
      <c r="K24" s="402" t="s">
        <v>34</v>
      </c>
      <c r="L24" s="402" t="s">
        <v>34</v>
      </c>
      <c r="M24" s="402" t="s">
        <v>34</v>
      </c>
      <c r="N24" s="402" t="s">
        <v>34</v>
      </c>
      <c r="O24" s="402" t="s">
        <v>34</v>
      </c>
      <c r="P24" s="402" t="s">
        <v>34</v>
      </c>
      <c r="Q24" s="402" t="s">
        <v>34</v>
      </c>
      <c r="R24" s="402" t="s">
        <v>34</v>
      </c>
      <c r="S24" s="402" t="s">
        <v>34</v>
      </c>
      <c r="T24" s="402" t="s">
        <v>34</v>
      </c>
      <c r="U24" s="402" t="s">
        <v>34</v>
      </c>
      <c r="V24" s="402" t="s">
        <v>34</v>
      </c>
      <c r="W24" s="402"/>
    </row>
    <row r="25" spans="1:23">
      <c r="A25" s="213">
        <f t="shared" si="0"/>
        <v>2003</v>
      </c>
      <c r="B25" s="402">
        <v>1.0069999999999999</v>
      </c>
      <c r="C25" s="402">
        <v>1.0049999999999999</v>
      </c>
      <c r="D25" s="402">
        <v>1.0029999999999999</v>
      </c>
      <c r="E25" s="402" t="s">
        <v>34</v>
      </c>
      <c r="F25" s="402" t="s">
        <v>34</v>
      </c>
      <c r="G25" s="402" t="s">
        <v>34</v>
      </c>
      <c r="H25" s="402" t="s">
        <v>34</v>
      </c>
      <c r="I25" s="402" t="s">
        <v>34</v>
      </c>
      <c r="J25" s="402" t="s">
        <v>34</v>
      </c>
      <c r="K25" s="402" t="s">
        <v>34</v>
      </c>
      <c r="L25" s="402" t="s">
        <v>34</v>
      </c>
      <c r="M25" s="402" t="s">
        <v>34</v>
      </c>
      <c r="N25" s="402" t="s">
        <v>34</v>
      </c>
      <c r="O25" s="402" t="s">
        <v>34</v>
      </c>
      <c r="P25" s="402" t="s">
        <v>34</v>
      </c>
      <c r="Q25" s="402" t="s">
        <v>34</v>
      </c>
      <c r="R25" s="402" t="s">
        <v>34</v>
      </c>
      <c r="S25" s="402" t="s">
        <v>34</v>
      </c>
      <c r="T25" s="402" t="s">
        <v>34</v>
      </c>
      <c r="U25" s="402" t="s">
        <v>34</v>
      </c>
      <c r="V25" s="402" t="s">
        <v>34</v>
      </c>
      <c r="W25" s="402"/>
    </row>
    <row r="26" spans="1:23">
      <c r="A26" s="213">
        <f t="shared" si="0"/>
        <v>2004</v>
      </c>
      <c r="B26" s="402">
        <v>1.004</v>
      </c>
      <c r="C26" s="402">
        <v>1.0029999999999999</v>
      </c>
      <c r="D26" s="402" t="s">
        <v>34</v>
      </c>
      <c r="E26" s="402" t="s">
        <v>34</v>
      </c>
      <c r="F26" s="402" t="s">
        <v>34</v>
      </c>
      <c r="G26" s="402" t="s">
        <v>34</v>
      </c>
      <c r="H26" s="402" t="s">
        <v>34</v>
      </c>
      <c r="I26" s="402" t="s">
        <v>34</v>
      </c>
      <c r="J26" s="402" t="s">
        <v>34</v>
      </c>
      <c r="K26" s="402" t="s">
        <v>34</v>
      </c>
      <c r="L26" s="402" t="s">
        <v>34</v>
      </c>
      <c r="M26" s="402" t="s">
        <v>34</v>
      </c>
      <c r="N26" s="402" t="s">
        <v>34</v>
      </c>
      <c r="O26" s="402" t="s">
        <v>34</v>
      </c>
      <c r="P26" s="402" t="s">
        <v>34</v>
      </c>
      <c r="Q26" s="402" t="s">
        <v>34</v>
      </c>
      <c r="R26" s="402" t="s">
        <v>34</v>
      </c>
      <c r="S26" s="402" t="s">
        <v>34</v>
      </c>
      <c r="T26" s="402" t="s">
        <v>34</v>
      </c>
      <c r="U26" s="402" t="s">
        <v>34</v>
      </c>
      <c r="V26" s="402" t="s">
        <v>34</v>
      </c>
      <c r="W26" s="402"/>
    </row>
    <row r="27" spans="1:23">
      <c r="A27" s="213">
        <f>'Exhibit 2.2.2'!A27</f>
        <v>2005</v>
      </c>
      <c r="B27" s="402">
        <v>1.0049999999999999</v>
      </c>
      <c r="C27" s="402" t="s">
        <v>34</v>
      </c>
      <c r="D27" s="402" t="s">
        <v>34</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c r="R27" s="402" t="s">
        <v>34</v>
      </c>
      <c r="S27" s="402" t="s">
        <v>34</v>
      </c>
      <c r="T27" s="402" t="s">
        <v>34</v>
      </c>
      <c r="U27" s="402" t="s">
        <v>34</v>
      </c>
      <c r="V27" s="402" t="s">
        <v>34</v>
      </c>
      <c r="W27" s="402"/>
    </row>
    <row r="28" spans="1:23">
      <c r="A28" s="343"/>
      <c r="B28" s="215"/>
      <c r="C28" s="215"/>
      <c r="D28" s="215"/>
      <c r="E28" s="215"/>
      <c r="F28" s="215"/>
      <c r="G28" s="215"/>
      <c r="H28" s="215"/>
      <c r="I28" s="215"/>
      <c r="J28" s="215"/>
      <c r="K28" s="215"/>
      <c r="L28" s="215"/>
      <c r="M28" s="215"/>
      <c r="N28" s="215"/>
      <c r="O28" s="215"/>
      <c r="P28" s="215"/>
      <c r="Q28" s="343"/>
      <c r="R28" s="343"/>
      <c r="S28" s="343"/>
      <c r="T28" s="343"/>
      <c r="U28" s="389"/>
      <c r="V28" s="343"/>
      <c r="W28" s="57"/>
    </row>
    <row r="29" spans="1:23">
      <c r="A29" s="13"/>
      <c r="B29" s="215"/>
      <c r="C29" s="215"/>
      <c r="D29" s="215"/>
      <c r="E29" s="215"/>
      <c r="F29" s="215"/>
      <c r="G29" s="215"/>
      <c r="H29" s="215"/>
      <c r="I29" s="215"/>
      <c r="J29" s="215"/>
      <c r="K29" s="215"/>
      <c r="L29" s="215"/>
      <c r="M29" s="215"/>
      <c r="N29" s="343"/>
      <c r="O29" s="343"/>
      <c r="P29" s="4"/>
      <c r="Q29" s="216"/>
      <c r="R29" s="216"/>
      <c r="S29" s="216"/>
      <c r="T29" s="216"/>
      <c r="U29" s="216"/>
      <c r="V29" s="216"/>
      <c r="W29" s="57"/>
    </row>
    <row r="30" spans="1:23">
      <c r="A30" s="213" t="s">
        <v>20</v>
      </c>
      <c r="B30" s="403">
        <f ca="1">AVERAGE(OFFSET(B$26:B$28,-COUNTA($B$4:B$4),0))</f>
        <v>1.0053333333333334</v>
      </c>
      <c r="C30" s="403">
        <f ca="1">AVERAGE(OFFSET(C$26:C$28,-COUNTA($B$4:C$4),0))</f>
        <v>1.0039999999999998</v>
      </c>
      <c r="D30" s="403">
        <f ca="1">AVERAGE(OFFSET(D$26:D$28,-COUNTA($B$4:D$4),0))</f>
        <v>1.0033333333333332</v>
      </c>
      <c r="E30" s="403">
        <f ca="1">AVERAGE(OFFSET(E$26:E$28,-COUNTA($B$4:E$4),0))</f>
        <v>1.0023333333333333</v>
      </c>
      <c r="F30" s="403">
        <f ca="1">AVERAGE(OFFSET(F$26:F$28,-COUNTA($B$4:F$4),0))</f>
        <v>1.002</v>
      </c>
      <c r="G30" s="403">
        <f ca="1">AVERAGE(OFFSET(G$26:G$28,-COUNTA($B$4:G$4),0))</f>
        <v>1.0023333333333333</v>
      </c>
      <c r="H30" s="403">
        <f ca="1">AVERAGE(OFFSET(H$26:H$28,-COUNTA($B$4:H$4),0))</f>
        <v>1.0023333333333333</v>
      </c>
      <c r="I30" s="403">
        <f ca="1">AVERAGE(OFFSET(I$26:I$28,-COUNTA($B$4:I$4),0))</f>
        <v>1.002</v>
      </c>
      <c r="J30" s="403">
        <f ca="1">AVERAGE(OFFSET(J$26:J$28,-COUNTA($B$4:J$4),0))</f>
        <v>1.002</v>
      </c>
      <c r="K30" s="403">
        <f ca="1">AVERAGE(OFFSET(K$26:K$28,-COUNTA($B$4:K$4),0))</f>
        <v>1.0016666666666667</v>
      </c>
      <c r="L30" s="403">
        <f ca="1">AVERAGE(OFFSET(L$26:L$28,-COUNTA($B$4:L$4),0))</f>
        <v>1.0016666666666667</v>
      </c>
      <c r="M30" s="403">
        <f ca="1">AVERAGE(OFFSET(M$26:M$28,-COUNTA($B$4:M$4),0))</f>
        <v>1.0009999999999999</v>
      </c>
      <c r="N30" s="403">
        <f ca="1">AVERAGE(OFFSET(N$26:N$28,-COUNTA($B$4:N$4),0))</f>
        <v>1.0009999999999999</v>
      </c>
      <c r="O30" s="403">
        <f ca="1">AVERAGE(OFFSET(O$26:O$28,-COUNTA($B$4:O$4),0))</f>
        <v>1.0009999999999999</v>
      </c>
      <c r="P30" s="403">
        <f ca="1">AVERAGE(OFFSET(P$26:P$28,-COUNTA($B$4:P$4),0))</f>
        <v>1.0006666666666666</v>
      </c>
      <c r="Q30" s="403">
        <f ca="1">AVERAGE(OFFSET(Q$26:Q$28,-COUNTA($B$4:Q$4),0))</f>
        <v>1.0003333333333333</v>
      </c>
      <c r="R30" s="403">
        <f ca="1">AVERAGE(OFFSET(R$26:R$28,-COUNTA($B$4:R$4),0))</f>
        <v>1.0006666666666666</v>
      </c>
      <c r="S30" s="403">
        <f ca="1">AVERAGE(OFFSET(S$26:S$28,-COUNTA($B$4:S$4),0))</f>
        <v>1.0006666666666666</v>
      </c>
      <c r="T30" s="403">
        <f ca="1">AVERAGE(OFFSET(T$26:T$28,-COUNTA($B$4:T$4),0))</f>
        <v>1</v>
      </c>
      <c r="U30" s="403">
        <f ca="1">AVERAGE(OFFSET(U$26:U$28,-COUNTA($B$4:U$4),0))</f>
        <v>1.0003333333333333</v>
      </c>
      <c r="V30" s="403">
        <f ca="1">AVERAGE(OFFSET(V$26:V$28,-COUNTA($B$4:V$4),0))</f>
        <v>1.0003333333333333</v>
      </c>
      <c r="W30" s="159"/>
    </row>
    <row r="31" spans="1:23">
      <c r="A31" s="213" t="s">
        <v>21</v>
      </c>
      <c r="B31" s="403">
        <f ca="1">C31*B30</f>
        <v>1.0448912310201572</v>
      </c>
      <c r="C31" s="403">
        <f t="shared" ref="C31:V31" ca="1" si="1">D31*C30</f>
        <v>1.0393480414656735</v>
      </c>
      <c r="D31" s="403">
        <f t="shared" ca="1" si="1"/>
        <v>1.035207212615213</v>
      </c>
      <c r="E31" s="403">
        <f t="shared" ca="1" si="1"/>
        <v>1.0317679859952291</v>
      </c>
      <c r="F31" s="403">
        <f t="shared" ca="1" si="1"/>
        <v>1.0293661316879572</v>
      </c>
      <c r="G31" s="403">
        <f t="shared" ca="1" si="1"/>
        <v>1.0273115086706159</v>
      </c>
      <c r="H31" s="403">
        <f t="shared" ca="1" si="1"/>
        <v>1.0249200286038735</v>
      </c>
      <c r="I31" s="403">
        <f t="shared" ca="1" si="1"/>
        <v>1.0225341156673164</v>
      </c>
      <c r="J31" s="403">
        <f t="shared" ca="1" si="1"/>
        <v>1.0204931294084993</v>
      </c>
      <c r="K31" s="403">
        <f t="shared" ca="1" si="1"/>
        <v>1.0184562169745501</v>
      </c>
      <c r="L31" s="403">
        <f t="shared" ca="1" si="1"/>
        <v>1.0167616142840767</v>
      </c>
      <c r="M31" s="403">
        <f t="shared" ca="1" si="1"/>
        <v>1.0150698312320234</v>
      </c>
      <c r="N31" s="403">
        <f t="shared" ca="1" si="1"/>
        <v>1.0140557754565669</v>
      </c>
      <c r="O31" s="403">
        <f t="shared" ca="1" si="1"/>
        <v>1.0130427327238432</v>
      </c>
      <c r="P31" s="403">
        <f t="shared" ca="1" si="1"/>
        <v>1.0120307020218215</v>
      </c>
      <c r="Q31" s="403">
        <f t="shared" ca="1" si="1"/>
        <v>1.0113564643789024</v>
      </c>
      <c r="R31" s="403">
        <f t="shared" ca="1" si="1"/>
        <v>1.0110194578929381</v>
      </c>
      <c r="S31" s="403">
        <f t="shared" ca="1" si="1"/>
        <v>1.0103458939636292</v>
      </c>
      <c r="T31" s="403">
        <f t="shared" ca="1" si="1"/>
        <v>1.0096727787777775</v>
      </c>
      <c r="U31" s="403">
        <f t="shared" ca="1" si="1"/>
        <v>1.0096727787777775</v>
      </c>
      <c r="V31" s="403">
        <f t="shared" ca="1" si="1"/>
        <v>1.0093363333333332</v>
      </c>
      <c r="W31" s="402">
        <v>1.0089999999999999</v>
      </c>
    </row>
    <row r="32" spans="1:23">
      <c r="A32" s="343"/>
      <c r="B32" s="68"/>
      <c r="C32" s="68"/>
      <c r="D32" s="68"/>
      <c r="E32" s="68"/>
      <c r="F32" s="68"/>
      <c r="G32" s="68"/>
      <c r="H32" s="219"/>
      <c r="I32" s="219"/>
      <c r="J32" s="219"/>
      <c r="K32" s="219"/>
      <c r="L32" s="219"/>
      <c r="M32" s="219"/>
      <c r="N32" s="219"/>
      <c r="O32" s="219"/>
      <c r="P32" s="219"/>
      <c r="Q32" s="215"/>
      <c r="R32" s="215"/>
      <c r="S32" s="215"/>
      <c r="T32" s="215"/>
      <c r="U32" s="215"/>
      <c r="V32" s="215"/>
      <c r="W32" s="57"/>
    </row>
    <row r="33" spans="1:23" ht="12.75" customHeight="1">
      <c r="A33" s="15" t="s">
        <v>25</v>
      </c>
      <c r="B33" s="224" t="s">
        <v>484</v>
      </c>
      <c r="C33" s="342"/>
      <c r="D33" s="342"/>
      <c r="E33" s="342"/>
      <c r="F33" s="342"/>
      <c r="G33" s="342"/>
      <c r="H33" s="342"/>
      <c r="I33" s="342"/>
      <c r="J33" s="342"/>
      <c r="K33" s="342"/>
      <c r="L33" s="342"/>
      <c r="M33" s="342"/>
      <c r="N33" s="342"/>
      <c r="O33" s="342"/>
      <c r="P33" s="342"/>
      <c r="Q33" s="342"/>
      <c r="R33" s="342"/>
      <c r="S33" s="342"/>
      <c r="T33" s="342"/>
      <c r="U33" s="388"/>
      <c r="V33" s="342"/>
      <c r="W33" s="57"/>
    </row>
    <row r="34" spans="1:23" ht="12.75" customHeight="1">
      <c r="A34" s="15"/>
      <c r="B34" s="224" t="s">
        <v>485</v>
      </c>
      <c r="C34" s="337"/>
      <c r="D34" s="337"/>
      <c r="E34" s="337"/>
      <c r="F34" s="337"/>
      <c r="G34" s="337"/>
      <c r="H34" s="337"/>
      <c r="I34" s="337"/>
      <c r="J34" s="337"/>
      <c r="K34" s="337"/>
      <c r="L34" s="337"/>
      <c r="M34" s="337"/>
      <c r="N34" s="337"/>
      <c r="O34" s="337"/>
      <c r="P34" s="337"/>
      <c r="Q34" s="337"/>
      <c r="R34" s="337"/>
      <c r="S34" s="337"/>
      <c r="T34" s="337"/>
      <c r="U34" s="384"/>
      <c r="V34" s="337"/>
      <c r="W34" s="57"/>
    </row>
    <row r="35" spans="1:23">
      <c r="A35" s="57"/>
      <c r="B35" s="224"/>
      <c r="C35" s="57"/>
      <c r="D35" s="57"/>
      <c r="E35" s="57"/>
      <c r="F35" s="57"/>
      <c r="G35" s="57"/>
      <c r="H35" s="57"/>
      <c r="I35" s="57"/>
      <c r="J35" s="57"/>
      <c r="K35" s="57"/>
      <c r="L35" s="57"/>
      <c r="M35" s="57"/>
      <c r="N35" s="57"/>
      <c r="O35" s="57"/>
      <c r="P35" s="57"/>
      <c r="Q35" s="57"/>
      <c r="R35" s="57"/>
      <c r="S35" s="57"/>
      <c r="T35" s="57"/>
      <c r="U35" s="57"/>
      <c r="V35" s="57"/>
      <c r="W35" s="57"/>
    </row>
  </sheetData>
  <pageMargins left="0.7" right="0.7" top="0.75" bottom="0.75" header="0.3" footer="0.3"/>
  <pageSetup scale="64" orientation="landscape" blackAndWhite="1" horizontalDpi="1200"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74"/>
  <sheetViews>
    <sheetView zoomScaleNormal="100" zoomScaleSheetLayoutView="100" workbookViewId="0"/>
  </sheetViews>
  <sheetFormatPr defaultColWidth="9.1796875" defaultRowHeight="12.5"/>
  <cols>
    <col min="1" max="1" width="20.54296875" style="56" customWidth="1"/>
    <col min="2" max="16" width="8.81640625" style="56" customWidth="1"/>
    <col min="17" max="17" width="10.81640625" style="56" customWidth="1"/>
    <col min="18" max="16384" width="9.1796875" style="56"/>
  </cols>
  <sheetData>
    <row r="1" spans="1:17" ht="13.4" customHeight="1">
      <c r="A1" s="140" t="s">
        <v>35</v>
      </c>
      <c r="B1" s="140"/>
      <c r="C1" s="140"/>
      <c r="D1" s="140"/>
      <c r="E1" s="140"/>
      <c r="F1" s="140"/>
      <c r="G1" s="140"/>
      <c r="H1" s="140"/>
      <c r="I1" s="140"/>
      <c r="J1" s="140"/>
      <c r="K1" s="140"/>
      <c r="L1" s="140"/>
      <c r="M1" s="140"/>
      <c r="N1" s="140"/>
      <c r="O1" s="140"/>
      <c r="P1" s="140"/>
      <c r="Q1" s="140"/>
    </row>
    <row r="2" spans="1:17" ht="13.4" customHeight="1"/>
    <row r="3" spans="1:17" ht="13.4" customHeight="1">
      <c r="A3" s="1" t="s">
        <v>58</v>
      </c>
      <c r="B3" s="142" t="s">
        <v>18</v>
      </c>
      <c r="C3" s="142"/>
      <c r="D3" s="142"/>
      <c r="E3" s="142"/>
      <c r="F3" s="142"/>
      <c r="G3" s="142"/>
      <c r="H3" s="142"/>
      <c r="I3" s="142"/>
      <c r="J3" s="142"/>
      <c r="K3" s="142"/>
      <c r="L3" s="142"/>
      <c r="M3" s="142"/>
      <c r="N3" s="142"/>
      <c r="O3" s="142"/>
      <c r="P3" s="142"/>
      <c r="Q3" s="142"/>
    </row>
    <row r="4" spans="1:17" ht="13.4" customHeight="1">
      <c r="A4" s="14" t="s">
        <v>19</v>
      </c>
      <c r="B4" s="6" t="s">
        <v>507</v>
      </c>
      <c r="C4" s="6" t="s">
        <v>508</v>
      </c>
      <c r="D4" s="6" t="s">
        <v>509</v>
      </c>
      <c r="E4" s="6" t="s">
        <v>510</v>
      </c>
      <c r="F4" s="6" t="s">
        <v>511</v>
      </c>
      <c r="G4" s="6" t="s">
        <v>512</v>
      </c>
      <c r="H4" s="6" t="s">
        <v>513</v>
      </c>
      <c r="I4" s="6" t="s">
        <v>514</v>
      </c>
      <c r="J4" s="6" t="s">
        <v>515</v>
      </c>
      <c r="K4" s="6" t="s">
        <v>516</v>
      </c>
      <c r="L4" s="6" t="s">
        <v>517</v>
      </c>
      <c r="M4" s="6" t="s">
        <v>518</v>
      </c>
      <c r="N4" s="6" t="s">
        <v>519</v>
      </c>
      <c r="O4" s="6" t="s">
        <v>520</v>
      </c>
      <c r="P4" s="6" t="s">
        <v>521</v>
      </c>
      <c r="Q4" s="6" t="s">
        <v>522</v>
      </c>
    </row>
    <row r="5" spans="1:17" ht="12" customHeight="1">
      <c r="A5" s="1">
        <f t="shared" ref="A5:A28" si="0">+A6-1</f>
        <v>1997</v>
      </c>
      <c r="B5" s="402" t="s">
        <v>34</v>
      </c>
      <c r="C5" s="402" t="s">
        <v>34</v>
      </c>
      <c r="D5" s="402" t="s">
        <v>34</v>
      </c>
      <c r="E5" s="402" t="s">
        <v>34</v>
      </c>
      <c r="F5" s="402" t="s">
        <v>34</v>
      </c>
      <c r="G5" s="402" t="s">
        <v>34</v>
      </c>
      <c r="H5" s="402" t="s">
        <v>34</v>
      </c>
      <c r="I5" s="402" t="s">
        <v>34</v>
      </c>
      <c r="J5" s="402" t="s">
        <v>34</v>
      </c>
      <c r="K5" s="402" t="s">
        <v>34</v>
      </c>
      <c r="L5" s="402" t="s">
        <v>34</v>
      </c>
      <c r="M5" s="402">
        <v>1.022</v>
      </c>
      <c r="N5" s="402">
        <v>1.0189999999999999</v>
      </c>
      <c r="O5" s="402">
        <v>1.016</v>
      </c>
      <c r="P5" s="402">
        <v>1.014</v>
      </c>
      <c r="Q5" s="402">
        <v>1.014</v>
      </c>
    </row>
    <row r="6" spans="1:17" ht="12" customHeight="1">
      <c r="A6" s="1">
        <f t="shared" si="0"/>
        <v>1998</v>
      </c>
      <c r="B6" s="402" t="s">
        <v>34</v>
      </c>
      <c r="C6" s="402" t="s">
        <v>34</v>
      </c>
      <c r="D6" s="402" t="s">
        <v>34</v>
      </c>
      <c r="E6" s="402" t="s">
        <v>34</v>
      </c>
      <c r="F6" s="402" t="s">
        <v>34</v>
      </c>
      <c r="G6" s="402" t="s">
        <v>34</v>
      </c>
      <c r="H6" s="402" t="s">
        <v>34</v>
      </c>
      <c r="I6" s="402" t="s">
        <v>34</v>
      </c>
      <c r="J6" s="402" t="s">
        <v>34</v>
      </c>
      <c r="K6" s="402" t="s">
        <v>34</v>
      </c>
      <c r="L6" s="402">
        <v>1.03</v>
      </c>
      <c r="M6" s="402">
        <v>1.0209999999999999</v>
      </c>
      <c r="N6" s="402">
        <v>1.0189999999999999</v>
      </c>
      <c r="O6" s="402">
        <v>1.0189999999999999</v>
      </c>
      <c r="P6" s="402">
        <v>1.0149999999999999</v>
      </c>
      <c r="Q6" s="402">
        <v>1.0169999999999999</v>
      </c>
    </row>
    <row r="7" spans="1:17" ht="12" customHeight="1">
      <c r="A7" s="1">
        <f t="shared" si="0"/>
        <v>1999</v>
      </c>
      <c r="B7" s="402" t="s">
        <v>34</v>
      </c>
      <c r="C7" s="402" t="s">
        <v>34</v>
      </c>
      <c r="D7" s="402" t="s">
        <v>34</v>
      </c>
      <c r="E7" s="402" t="s">
        <v>34</v>
      </c>
      <c r="F7" s="402" t="s">
        <v>34</v>
      </c>
      <c r="G7" s="402" t="s">
        <v>34</v>
      </c>
      <c r="H7" s="402" t="s">
        <v>34</v>
      </c>
      <c r="I7" s="402" t="s">
        <v>34</v>
      </c>
      <c r="J7" s="402" t="s">
        <v>34</v>
      </c>
      <c r="K7" s="402">
        <v>1.032</v>
      </c>
      <c r="L7" s="402">
        <v>1.0249999999999999</v>
      </c>
      <c r="M7" s="402">
        <v>1.0249999999999999</v>
      </c>
      <c r="N7" s="402">
        <v>1.016</v>
      </c>
      <c r="O7" s="402">
        <v>1.016</v>
      </c>
      <c r="P7" s="402">
        <v>1.018</v>
      </c>
      <c r="Q7" s="402">
        <v>1.0149999999999999</v>
      </c>
    </row>
    <row r="8" spans="1:17" ht="12" customHeight="1">
      <c r="A8" s="1">
        <f t="shared" si="0"/>
        <v>2000</v>
      </c>
      <c r="B8" s="402" t="s">
        <v>34</v>
      </c>
      <c r="C8" s="402" t="s">
        <v>34</v>
      </c>
      <c r="D8" s="402" t="s">
        <v>34</v>
      </c>
      <c r="E8" s="402" t="s">
        <v>34</v>
      </c>
      <c r="F8" s="402" t="s">
        <v>34</v>
      </c>
      <c r="G8" s="402" t="s">
        <v>34</v>
      </c>
      <c r="H8" s="402" t="s">
        <v>34</v>
      </c>
      <c r="I8" s="402" t="s">
        <v>34</v>
      </c>
      <c r="J8" s="402">
        <v>1.0309999999999999</v>
      </c>
      <c r="K8" s="402">
        <v>1.0269999999999999</v>
      </c>
      <c r="L8" s="402">
        <v>1.0229999999999999</v>
      </c>
      <c r="M8" s="402">
        <v>1.02</v>
      </c>
      <c r="N8" s="402">
        <v>1.02</v>
      </c>
      <c r="O8" s="402">
        <v>1.0169999999999999</v>
      </c>
      <c r="P8" s="402">
        <v>1.0129999999999999</v>
      </c>
      <c r="Q8" s="402">
        <v>1.01</v>
      </c>
    </row>
    <row r="9" spans="1:17" ht="12" customHeight="1">
      <c r="A9" s="1">
        <f t="shared" si="0"/>
        <v>2001</v>
      </c>
      <c r="B9" s="402" t="s">
        <v>34</v>
      </c>
      <c r="C9" s="402" t="s">
        <v>34</v>
      </c>
      <c r="D9" s="402" t="s">
        <v>34</v>
      </c>
      <c r="E9" s="402" t="s">
        <v>34</v>
      </c>
      <c r="F9" s="402" t="s">
        <v>34</v>
      </c>
      <c r="G9" s="402" t="s">
        <v>34</v>
      </c>
      <c r="H9" s="402" t="s">
        <v>34</v>
      </c>
      <c r="I9" s="402">
        <v>1.038</v>
      </c>
      <c r="J9" s="402">
        <v>1.034</v>
      </c>
      <c r="K9" s="402">
        <v>1.03</v>
      </c>
      <c r="L9" s="402">
        <v>1.022</v>
      </c>
      <c r="M9" s="402">
        <v>1.022</v>
      </c>
      <c r="N9" s="402">
        <v>1.022</v>
      </c>
      <c r="O9" s="402">
        <v>1.0169999999999999</v>
      </c>
      <c r="P9" s="402">
        <v>1.012</v>
      </c>
      <c r="Q9" s="402">
        <v>1.0109999999999999</v>
      </c>
    </row>
    <row r="10" spans="1:17" ht="12" customHeight="1">
      <c r="A10" s="1">
        <f t="shared" si="0"/>
        <v>2002</v>
      </c>
      <c r="B10" s="402" t="s">
        <v>34</v>
      </c>
      <c r="C10" s="402" t="s">
        <v>34</v>
      </c>
      <c r="D10" s="402" t="s">
        <v>34</v>
      </c>
      <c r="E10" s="402" t="s">
        <v>34</v>
      </c>
      <c r="F10" s="402" t="s">
        <v>34</v>
      </c>
      <c r="G10" s="402" t="s">
        <v>34</v>
      </c>
      <c r="H10" s="402">
        <v>1.046</v>
      </c>
      <c r="I10" s="402">
        <v>1.034</v>
      </c>
      <c r="J10" s="402">
        <v>1.032</v>
      </c>
      <c r="K10" s="402">
        <v>1.024</v>
      </c>
      <c r="L10" s="402">
        <v>1.0229999999999999</v>
      </c>
      <c r="M10" s="402">
        <v>1.018</v>
      </c>
      <c r="N10" s="402">
        <v>1.016</v>
      </c>
      <c r="O10" s="402">
        <v>1.012</v>
      </c>
      <c r="P10" s="402">
        <v>1.0109999999999999</v>
      </c>
      <c r="Q10" s="402">
        <v>1.01</v>
      </c>
    </row>
    <row r="11" spans="1:17" ht="12" customHeight="1">
      <c r="A11" s="1">
        <f t="shared" si="0"/>
        <v>2003</v>
      </c>
      <c r="B11" s="402" t="s">
        <v>34</v>
      </c>
      <c r="C11" s="402" t="s">
        <v>34</v>
      </c>
      <c r="D11" s="402" t="s">
        <v>34</v>
      </c>
      <c r="E11" s="402" t="s">
        <v>34</v>
      </c>
      <c r="F11" s="402" t="s">
        <v>34</v>
      </c>
      <c r="G11" s="402">
        <v>1.0569999999999999</v>
      </c>
      <c r="H11" s="402">
        <v>1.048</v>
      </c>
      <c r="I11" s="402">
        <v>1.0409999999999999</v>
      </c>
      <c r="J11" s="402">
        <v>1.03</v>
      </c>
      <c r="K11" s="402">
        <v>1.03</v>
      </c>
      <c r="L11" s="402">
        <v>1.026</v>
      </c>
      <c r="M11" s="402">
        <v>1.0189999999999999</v>
      </c>
      <c r="N11" s="402">
        <v>1.016</v>
      </c>
      <c r="O11" s="402">
        <v>1.0129999999999999</v>
      </c>
      <c r="P11" s="402">
        <v>1.012</v>
      </c>
      <c r="Q11" s="402">
        <v>1.01</v>
      </c>
    </row>
    <row r="12" spans="1:17" ht="12" customHeight="1">
      <c r="A12" s="1">
        <f t="shared" si="0"/>
        <v>2004</v>
      </c>
      <c r="B12" s="402" t="s">
        <v>34</v>
      </c>
      <c r="C12" s="402" t="s">
        <v>34</v>
      </c>
      <c r="D12" s="402" t="s">
        <v>34</v>
      </c>
      <c r="E12" s="402" t="s">
        <v>34</v>
      </c>
      <c r="F12" s="402">
        <v>1.0920000000000001</v>
      </c>
      <c r="G12" s="402">
        <v>1.07</v>
      </c>
      <c r="H12" s="402">
        <v>1.0549999999999999</v>
      </c>
      <c r="I12" s="402">
        <v>1.04</v>
      </c>
      <c r="J12" s="402">
        <v>1.036</v>
      </c>
      <c r="K12" s="402">
        <v>1.034</v>
      </c>
      <c r="L12" s="402">
        <v>1.024</v>
      </c>
      <c r="M12" s="402">
        <v>1.018</v>
      </c>
      <c r="N12" s="402">
        <v>1.0149999999999999</v>
      </c>
      <c r="O12" s="402">
        <v>1.012</v>
      </c>
      <c r="P12" s="402">
        <v>1.0129999999999999</v>
      </c>
      <c r="Q12" s="402">
        <v>1.0089999999999999</v>
      </c>
    </row>
    <row r="13" spans="1:17" ht="12" customHeight="1">
      <c r="A13" s="1">
        <f t="shared" si="0"/>
        <v>2005</v>
      </c>
      <c r="B13" s="402" t="s">
        <v>34</v>
      </c>
      <c r="C13" s="402" t="s">
        <v>34</v>
      </c>
      <c r="D13" s="402" t="s">
        <v>34</v>
      </c>
      <c r="E13" s="402">
        <v>1.1379999999999999</v>
      </c>
      <c r="F13" s="402">
        <v>1.095</v>
      </c>
      <c r="G13" s="402">
        <v>1.073</v>
      </c>
      <c r="H13" s="402">
        <v>1.054</v>
      </c>
      <c r="I13" s="402">
        <v>1.0489999999999999</v>
      </c>
      <c r="J13" s="402">
        <v>1.038</v>
      </c>
      <c r="K13" s="402">
        <v>1.0309999999999999</v>
      </c>
      <c r="L13" s="402">
        <v>1.0209999999999999</v>
      </c>
      <c r="M13" s="402">
        <v>1.0189999999999999</v>
      </c>
      <c r="N13" s="402">
        <v>1.014</v>
      </c>
      <c r="O13" s="402">
        <v>1.0129999999999999</v>
      </c>
      <c r="P13" s="402">
        <v>1.012</v>
      </c>
      <c r="Q13" s="402">
        <v>1.008</v>
      </c>
    </row>
    <row r="14" spans="1:17" ht="12" customHeight="1">
      <c r="A14" s="1">
        <f t="shared" si="0"/>
        <v>2006</v>
      </c>
      <c r="B14" s="402" t="s">
        <v>34</v>
      </c>
      <c r="C14" s="402" t="s">
        <v>34</v>
      </c>
      <c r="D14" s="402">
        <v>1.22</v>
      </c>
      <c r="E14" s="402">
        <v>1.1399999999999999</v>
      </c>
      <c r="F14" s="402">
        <v>1.099</v>
      </c>
      <c r="G14" s="402">
        <v>1.0680000000000001</v>
      </c>
      <c r="H14" s="402">
        <v>1.056</v>
      </c>
      <c r="I14" s="402">
        <v>1.042</v>
      </c>
      <c r="J14" s="402">
        <v>1.034</v>
      </c>
      <c r="K14" s="402">
        <v>1.0249999999999999</v>
      </c>
      <c r="L14" s="402">
        <v>1.02</v>
      </c>
      <c r="M14" s="402">
        <v>1.0149999999999999</v>
      </c>
      <c r="N14" s="402">
        <v>1.014</v>
      </c>
      <c r="O14" s="402">
        <v>1.0109999999999999</v>
      </c>
      <c r="P14" s="402">
        <v>1.01</v>
      </c>
      <c r="Q14" s="402">
        <v>1.008</v>
      </c>
    </row>
    <row r="15" spans="1:17" ht="12" customHeight="1">
      <c r="A15" s="1">
        <f t="shared" si="0"/>
        <v>2007</v>
      </c>
      <c r="B15" s="402" t="s">
        <v>34</v>
      </c>
      <c r="C15" s="402">
        <v>1.413</v>
      </c>
      <c r="D15" s="402">
        <v>1.23</v>
      </c>
      <c r="E15" s="402">
        <v>1.1419999999999999</v>
      </c>
      <c r="F15" s="402">
        <v>1.097</v>
      </c>
      <c r="G15" s="402">
        <v>1.075</v>
      </c>
      <c r="H15" s="402">
        <v>1.0569999999999999</v>
      </c>
      <c r="I15" s="402">
        <v>1.0409999999999999</v>
      </c>
      <c r="J15" s="402">
        <v>1.0309999999999999</v>
      </c>
      <c r="K15" s="402">
        <v>1.022</v>
      </c>
      <c r="L15" s="402">
        <v>1.02</v>
      </c>
      <c r="M15" s="402">
        <v>1.0149999999999999</v>
      </c>
      <c r="N15" s="402">
        <v>1.012</v>
      </c>
      <c r="O15" s="402">
        <v>1.0089999999999999</v>
      </c>
      <c r="P15" s="402">
        <v>1.0069999999999999</v>
      </c>
      <c r="Q15" s="402" t="s">
        <v>34</v>
      </c>
    </row>
    <row r="16" spans="1:17" ht="12" customHeight="1">
      <c r="A16" s="1">
        <f t="shared" si="0"/>
        <v>2008</v>
      </c>
      <c r="B16" s="402">
        <v>2.3250000000000002</v>
      </c>
      <c r="C16" s="402">
        <v>1.421</v>
      </c>
      <c r="D16" s="402">
        <v>1.2410000000000001</v>
      </c>
      <c r="E16" s="402">
        <v>1.1479999999999999</v>
      </c>
      <c r="F16" s="402">
        <v>1.103</v>
      </c>
      <c r="G16" s="402">
        <v>1.0720000000000001</v>
      </c>
      <c r="H16" s="402">
        <v>1.0509999999999999</v>
      </c>
      <c r="I16" s="402">
        <v>1.0349999999999999</v>
      </c>
      <c r="J16" s="402">
        <v>1.0269999999999999</v>
      </c>
      <c r="K16" s="402">
        <v>1.018</v>
      </c>
      <c r="L16" s="402">
        <v>1.0169999999999999</v>
      </c>
      <c r="M16" s="402">
        <v>1.012</v>
      </c>
      <c r="N16" s="402">
        <v>1.0089999999999999</v>
      </c>
      <c r="O16" s="402">
        <v>1.008</v>
      </c>
      <c r="P16" s="402" t="s">
        <v>34</v>
      </c>
      <c r="Q16" s="402" t="s">
        <v>34</v>
      </c>
    </row>
    <row r="17" spans="1:17" ht="12" customHeight="1">
      <c r="A17" s="1">
        <f t="shared" si="0"/>
        <v>2009</v>
      </c>
      <c r="B17" s="402">
        <v>2.4079999999999999</v>
      </c>
      <c r="C17" s="402">
        <v>1.4470000000000001</v>
      </c>
      <c r="D17" s="402">
        <v>1.2509999999999999</v>
      </c>
      <c r="E17" s="402">
        <v>1.1599999999999999</v>
      </c>
      <c r="F17" s="402">
        <v>1.1040000000000001</v>
      </c>
      <c r="G17" s="402">
        <v>1.0669999999999999</v>
      </c>
      <c r="H17" s="402">
        <v>1.046</v>
      </c>
      <c r="I17" s="402">
        <v>1.032</v>
      </c>
      <c r="J17" s="402">
        <v>1.024</v>
      </c>
      <c r="K17" s="402">
        <v>1.0189999999999999</v>
      </c>
      <c r="L17" s="402">
        <v>1.0129999999999999</v>
      </c>
      <c r="M17" s="402">
        <v>1.014</v>
      </c>
      <c r="N17" s="402">
        <v>1.0089999999999999</v>
      </c>
      <c r="O17" s="402" t="s">
        <v>34</v>
      </c>
      <c r="P17" s="402" t="s">
        <v>34</v>
      </c>
      <c r="Q17" s="402" t="s">
        <v>34</v>
      </c>
    </row>
    <row r="18" spans="1:17" ht="12" customHeight="1">
      <c r="A18" s="1">
        <f t="shared" si="0"/>
        <v>2010</v>
      </c>
      <c r="B18" s="402">
        <v>2.4790000000000001</v>
      </c>
      <c r="C18" s="402">
        <v>1.468</v>
      </c>
      <c r="D18" s="402">
        <v>1.2649999999999999</v>
      </c>
      <c r="E18" s="402">
        <v>1.1519999999999999</v>
      </c>
      <c r="F18" s="402">
        <v>1.0960000000000001</v>
      </c>
      <c r="G18" s="402">
        <v>1.0660000000000001</v>
      </c>
      <c r="H18" s="402">
        <v>1.0429999999999999</v>
      </c>
      <c r="I18" s="402">
        <v>1.03</v>
      </c>
      <c r="J18" s="402">
        <v>1.024</v>
      </c>
      <c r="K18" s="402">
        <v>1.0169999999999999</v>
      </c>
      <c r="L18" s="402">
        <v>1.0129999999999999</v>
      </c>
      <c r="M18" s="402">
        <v>1.0089999999999999</v>
      </c>
      <c r="N18" s="402" t="s">
        <v>34</v>
      </c>
      <c r="O18" s="402" t="s">
        <v>34</v>
      </c>
      <c r="P18" s="402" t="s">
        <v>34</v>
      </c>
      <c r="Q18" s="402" t="s">
        <v>34</v>
      </c>
    </row>
    <row r="19" spans="1:17" ht="12" customHeight="1">
      <c r="A19" s="1">
        <f t="shared" si="0"/>
        <v>2011</v>
      </c>
      <c r="B19" s="402">
        <v>2.58</v>
      </c>
      <c r="C19" s="402">
        <v>1.47</v>
      </c>
      <c r="D19" s="402">
        <v>1.248</v>
      </c>
      <c r="E19" s="402">
        <v>1.145</v>
      </c>
      <c r="F19" s="402">
        <v>1.095</v>
      </c>
      <c r="G19" s="402">
        <v>1.0580000000000001</v>
      </c>
      <c r="H19" s="402">
        <v>1.0409999999999999</v>
      </c>
      <c r="I19" s="402">
        <v>1.028</v>
      </c>
      <c r="J19" s="402">
        <v>1.018</v>
      </c>
      <c r="K19" s="402">
        <v>1.0149999999999999</v>
      </c>
      <c r="L19" s="402">
        <v>1.0109999999999999</v>
      </c>
      <c r="M19" s="402" t="s">
        <v>34</v>
      </c>
      <c r="N19" s="402" t="s">
        <v>34</v>
      </c>
      <c r="O19" s="402" t="s">
        <v>34</v>
      </c>
      <c r="P19" s="402" t="s">
        <v>34</v>
      </c>
      <c r="Q19" s="402" t="s">
        <v>34</v>
      </c>
    </row>
    <row r="20" spans="1:17" ht="12" customHeight="1">
      <c r="A20" s="1">
        <f t="shared" si="0"/>
        <v>2012</v>
      </c>
      <c r="B20" s="402">
        <v>2.5609999999999999</v>
      </c>
      <c r="C20" s="402">
        <v>1.468</v>
      </c>
      <c r="D20" s="402">
        <v>1.2470000000000001</v>
      </c>
      <c r="E20" s="402">
        <v>1.143</v>
      </c>
      <c r="F20" s="402">
        <v>1.087</v>
      </c>
      <c r="G20" s="402">
        <v>1.056</v>
      </c>
      <c r="H20" s="402">
        <v>1.0389999999999999</v>
      </c>
      <c r="I20" s="402">
        <v>1.0229999999999999</v>
      </c>
      <c r="J20" s="402">
        <v>1.0189999999999999</v>
      </c>
      <c r="K20" s="402">
        <v>1.014</v>
      </c>
      <c r="L20" s="402" t="s">
        <v>34</v>
      </c>
      <c r="M20" s="402" t="s">
        <v>34</v>
      </c>
      <c r="N20" s="402" t="s">
        <v>34</v>
      </c>
      <c r="O20" s="402" t="s">
        <v>34</v>
      </c>
      <c r="P20" s="402" t="s">
        <v>34</v>
      </c>
      <c r="Q20" s="402" t="s">
        <v>34</v>
      </c>
    </row>
    <row r="21" spans="1:17" ht="12" customHeight="1">
      <c r="A21" s="1">
        <f t="shared" si="0"/>
        <v>2013</v>
      </c>
      <c r="B21" s="402">
        <v>2.492</v>
      </c>
      <c r="C21" s="402">
        <v>1.464</v>
      </c>
      <c r="D21" s="402">
        <v>1.238</v>
      </c>
      <c r="E21" s="402">
        <v>1.1299999999999999</v>
      </c>
      <c r="F21" s="402">
        <v>1.077</v>
      </c>
      <c r="G21" s="402">
        <v>1.048</v>
      </c>
      <c r="H21" s="402">
        <v>1.0289999999999999</v>
      </c>
      <c r="I21" s="402">
        <v>1.022</v>
      </c>
      <c r="J21" s="402">
        <v>1.016</v>
      </c>
      <c r="K21" s="402" t="s">
        <v>34</v>
      </c>
      <c r="L21" s="402" t="s">
        <v>34</v>
      </c>
      <c r="M21" s="402" t="s">
        <v>34</v>
      </c>
      <c r="N21" s="402" t="s">
        <v>34</v>
      </c>
      <c r="O21" s="402" t="s">
        <v>34</v>
      </c>
      <c r="P21" s="402" t="s">
        <v>34</v>
      </c>
      <c r="Q21" s="402" t="s">
        <v>34</v>
      </c>
    </row>
    <row r="22" spans="1:17" ht="12" customHeight="1">
      <c r="A22" s="1">
        <f t="shared" si="0"/>
        <v>2014</v>
      </c>
      <c r="B22" s="402">
        <v>2.5179999999999998</v>
      </c>
      <c r="C22" s="402">
        <v>1.462</v>
      </c>
      <c r="D22" s="402">
        <v>1.226</v>
      </c>
      <c r="E22" s="402">
        <v>1.121</v>
      </c>
      <c r="F22" s="402">
        <v>1.0760000000000001</v>
      </c>
      <c r="G22" s="402">
        <v>1.0429999999999999</v>
      </c>
      <c r="H22" s="402">
        <v>1.0329999999999999</v>
      </c>
      <c r="I22" s="402">
        <v>1.022</v>
      </c>
      <c r="J22" s="402" t="s">
        <v>34</v>
      </c>
      <c r="K22" s="402" t="s">
        <v>34</v>
      </c>
      <c r="L22" s="402" t="s">
        <v>34</v>
      </c>
      <c r="M22" s="402" t="s">
        <v>34</v>
      </c>
      <c r="N22" s="402" t="s">
        <v>34</v>
      </c>
      <c r="O22" s="402" t="s">
        <v>34</v>
      </c>
      <c r="P22" s="402" t="s">
        <v>34</v>
      </c>
      <c r="Q22" s="402" t="s">
        <v>34</v>
      </c>
    </row>
    <row r="23" spans="1:17" ht="12" customHeight="1">
      <c r="A23" s="1">
        <f t="shared" si="0"/>
        <v>2015</v>
      </c>
      <c r="B23" s="402">
        <v>2.5329999999999999</v>
      </c>
      <c r="C23" s="402">
        <v>1.4390000000000001</v>
      </c>
      <c r="D23" s="402">
        <v>1.218</v>
      </c>
      <c r="E23" s="402">
        <v>1.111</v>
      </c>
      <c r="F23" s="402">
        <v>1.0620000000000001</v>
      </c>
      <c r="G23" s="402">
        <v>1.044</v>
      </c>
      <c r="H23" s="402">
        <v>1.03</v>
      </c>
      <c r="I23" s="402" t="s">
        <v>34</v>
      </c>
      <c r="J23" s="402" t="s">
        <v>34</v>
      </c>
      <c r="K23" s="402" t="s">
        <v>34</v>
      </c>
      <c r="L23" s="402" t="s">
        <v>34</v>
      </c>
      <c r="M23" s="402" t="s">
        <v>34</v>
      </c>
      <c r="N23" s="402" t="s">
        <v>34</v>
      </c>
      <c r="O23" s="402" t="s">
        <v>34</v>
      </c>
      <c r="P23" s="402" t="s">
        <v>34</v>
      </c>
      <c r="Q23" s="402" t="s">
        <v>34</v>
      </c>
    </row>
    <row r="24" spans="1:17" ht="12" customHeight="1">
      <c r="A24" s="1">
        <f t="shared" si="0"/>
        <v>2016</v>
      </c>
      <c r="B24" s="402">
        <v>2.48</v>
      </c>
      <c r="C24" s="402">
        <v>1.41</v>
      </c>
      <c r="D24" s="402">
        <v>1.196</v>
      </c>
      <c r="E24" s="402">
        <v>1.099</v>
      </c>
      <c r="F24" s="402">
        <v>1.0640000000000001</v>
      </c>
      <c r="G24" s="402">
        <v>1.048</v>
      </c>
      <c r="H24" s="402" t="s">
        <v>34</v>
      </c>
      <c r="I24" s="402" t="s">
        <v>34</v>
      </c>
      <c r="J24" s="402" t="s">
        <v>34</v>
      </c>
      <c r="K24" s="402" t="s">
        <v>34</v>
      </c>
      <c r="L24" s="402" t="s">
        <v>34</v>
      </c>
      <c r="M24" s="402" t="s">
        <v>34</v>
      </c>
      <c r="N24" s="402" t="s">
        <v>34</v>
      </c>
      <c r="O24" s="402" t="s">
        <v>34</v>
      </c>
      <c r="P24" s="402" t="s">
        <v>34</v>
      </c>
      <c r="Q24" s="402" t="s">
        <v>34</v>
      </c>
    </row>
    <row r="25" spans="1:17" ht="12" customHeight="1">
      <c r="A25" s="1">
        <f t="shared" si="0"/>
        <v>2017</v>
      </c>
      <c r="B25" s="402">
        <v>2.3730000000000002</v>
      </c>
      <c r="C25" s="402">
        <v>1.391</v>
      </c>
      <c r="D25" s="402">
        <v>1.177</v>
      </c>
      <c r="E25" s="402">
        <v>1.1040000000000001</v>
      </c>
      <c r="F25" s="402">
        <v>1.071</v>
      </c>
      <c r="G25" s="402" t="s">
        <v>34</v>
      </c>
      <c r="H25" s="402" t="s">
        <v>34</v>
      </c>
      <c r="I25" s="402" t="s">
        <v>34</v>
      </c>
      <c r="J25" s="402" t="s">
        <v>34</v>
      </c>
      <c r="K25" s="402" t="s">
        <v>34</v>
      </c>
      <c r="L25" s="402" t="s">
        <v>34</v>
      </c>
      <c r="M25" s="402" t="s">
        <v>34</v>
      </c>
      <c r="N25" s="402" t="s">
        <v>34</v>
      </c>
      <c r="O25" s="402" t="s">
        <v>34</v>
      </c>
      <c r="P25" s="402" t="s">
        <v>34</v>
      </c>
      <c r="Q25" s="402" t="s">
        <v>34</v>
      </c>
    </row>
    <row r="26" spans="1:17" ht="12" customHeight="1">
      <c r="A26" s="1">
        <f t="shared" si="0"/>
        <v>2018</v>
      </c>
      <c r="B26" s="402">
        <v>2.3780000000000001</v>
      </c>
      <c r="C26" s="402">
        <v>1.3779999999999999</v>
      </c>
      <c r="D26" s="402">
        <v>1.1970000000000001</v>
      </c>
      <c r="E26" s="402">
        <v>1.1060000000000001</v>
      </c>
      <c r="F26" s="402" t="s">
        <v>34</v>
      </c>
      <c r="G26" s="402" t="s">
        <v>34</v>
      </c>
      <c r="H26" s="402" t="s">
        <v>34</v>
      </c>
      <c r="I26" s="402" t="s">
        <v>34</v>
      </c>
      <c r="J26" s="402" t="s">
        <v>34</v>
      </c>
      <c r="K26" s="402" t="s">
        <v>34</v>
      </c>
      <c r="L26" s="402" t="s">
        <v>34</v>
      </c>
      <c r="M26" s="402" t="s">
        <v>34</v>
      </c>
      <c r="N26" s="402" t="s">
        <v>34</v>
      </c>
      <c r="O26" s="402" t="s">
        <v>34</v>
      </c>
      <c r="P26" s="402" t="s">
        <v>34</v>
      </c>
      <c r="Q26" s="402" t="s">
        <v>34</v>
      </c>
    </row>
    <row r="27" spans="1:17" ht="12" customHeight="1">
      <c r="A27" s="1">
        <f t="shared" si="0"/>
        <v>2019</v>
      </c>
      <c r="B27" s="402">
        <v>2.347</v>
      </c>
      <c r="C27" s="402">
        <v>1.4279999999999999</v>
      </c>
      <c r="D27" s="402">
        <v>1.2190000000000001</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row>
    <row r="28" spans="1:17" ht="12" customHeight="1">
      <c r="A28" s="1">
        <f t="shared" si="0"/>
        <v>2020</v>
      </c>
      <c r="B28" s="402">
        <v>2.4929999999999999</v>
      </c>
      <c r="C28" s="402">
        <v>1.4470000000000001</v>
      </c>
      <c r="D28" s="402" t="s">
        <v>34</v>
      </c>
      <c r="E28" s="402" t="s">
        <v>34</v>
      </c>
      <c r="F28" s="402" t="s">
        <v>34</v>
      </c>
      <c r="G28" s="402" t="s">
        <v>34</v>
      </c>
      <c r="H28" s="402" t="s">
        <v>34</v>
      </c>
      <c r="I28" s="402" t="s">
        <v>34</v>
      </c>
      <c r="J28" s="402" t="s">
        <v>34</v>
      </c>
      <c r="K28" s="402" t="s">
        <v>34</v>
      </c>
      <c r="L28" s="402" t="s">
        <v>34</v>
      </c>
      <c r="M28" s="402" t="s">
        <v>34</v>
      </c>
      <c r="N28" s="402" t="s">
        <v>34</v>
      </c>
      <c r="O28" s="402" t="s">
        <v>34</v>
      </c>
      <c r="P28" s="402" t="s">
        <v>34</v>
      </c>
      <c r="Q28" s="402" t="s">
        <v>34</v>
      </c>
    </row>
    <row r="29" spans="1:17" ht="12" customHeight="1">
      <c r="A29" s="1">
        <f>'Exhibit 2.3.1'!A29</f>
        <v>2021</v>
      </c>
      <c r="B29" s="402">
        <v>2.5019999999999998</v>
      </c>
      <c r="C29" s="402" t="s">
        <v>34</v>
      </c>
      <c r="D29" s="402" t="s">
        <v>34</v>
      </c>
      <c r="E29" s="402" t="s">
        <v>34</v>
      </c>
      <c r="F29" s="402" t="s">
        <v>34</v>
      </c>
      <c r="G29" s="402" t="s">
        <v>34</v>
      </c>
      <c r="H29" s="402" t="s">
        <v>34</v>
      </c>
      <c r="I29" s="402" t="s">
        <v>34</v>
      </c>
      <c r="J29" s="402" t="s">
        <v>34</v>
      </c>
      <c r="K29" s="402" t="s">
        <v>34</v>
      </c>
      <c r="L29" s="402" t="s">
        <v>34</v>
      </c>
      <c r="M29" s="402" t="s">
        <v>34</v>
      </c>
      <c r="N29" s="402" t="s">
        <v>34</v>
      </c>
      <c r="O29" s="402" t="s">
        <v>34</v>
      </c>
      <c r="P29" s="402" t="s">
        <v>34</v>
      </c>
      <c r="Q29" s="402" t="s">
        <v>34</v>
      </c>
    </row>
    <row r="30" spans="1:17" ht="12" customHeight="1">
      <c r="A30" s="12"/>
      <c r="B30" s="12"/>
      <c r="C30" s="12"/>
      <c r="D30" s="12"/>
      <c r="E30" s="12"/>
      <c r="F30" s="12"/>
      <c r="G30" s="12"/>
      <c r="H30" s="12"/>
      <c r="I30" s="12"/>
      <c r="J30" s="12"/>
      <c r="K30" s="12"/>
      <c r="L30" s="12"/>
      <c r="M30" s="12"/>
      <c r="N30" s="12"/>
      <c r="O30" s="12"/>
      <c r="P30" s="12"/>
    </row>
    <row r="31" spans="1:17" ht="12" customHeight="1">
      <c r="A31" s="1" t="s">
        <v>59</v>
      </c>
      <c r="B31" s="142" t="s">
        <v>18</v>
      </c>
      <c r="C31" s="142"/>
      <c r="D31" s="142"/>
      <c r="E31" s="142"/>
      <c r="F31" s="142"/>
      <c r="G31" s="142"/>
      <c r="H31" s="142"/>
      <c r="I31" s="142"/>
      <c r="J31" s="142"/>
      <c r="K31" s="142"/>
      <c r="L31" s="142"/>
      <c r="M31" s="142"/>
      <c r="N31" s="142"/>
      <c r="O31" s="142"/>
      <c r="P31" s="142"/>
      <c r="Q31" s="142"/>
    </row>
    <row r="32" spans="1:17" ht="12" customHeight="1">
      <c r="A32" s="6" t="s">
        <v>19</v>
      </c>
      <c r="B32" s="6" t="s">
        <v>507</v>
      </c>
      <c r="C32" s="6" t="s">
        <v>508</v>
      </c>
      <c r="D32" s="6" t="s">
        <v>509</v>
      </c>
      <c r="E32" s="6" t="s">
        <v>510</v>
      </c>
      <c r="F32" s="6" t="s">
        <v>511</v>
      </c>
      <c r="G32" s="6" t="s">
        <v>512</v>
      </c>
      <c r="H32" s="6" t="s">
        <v>513</v>
      </c>
      <c r="I32" s="6" t="s">
        <v>514</v>
      </c>
      <c r="J32" s="6" t="s">
        <v>515</v>
      </c>
      <c r="K32" s="6" t="s">
        <v>516</v>
      </c>
      <c r="L32" s="6" t="s">
        <v>517</v>
      </c>
      <c r="M32" s="6" t="s">
        <v>518</v>
      </c>
      <c r="N32" s="6" t="s">
        <v>519</v>
      </c>
      <c r="O32" s="6" t="s">
        <v>520</v>
      </c>
      <c r="P32" s="6" t="s">
        <v>521</v>
      </c>
      <c r="Q32" s="6" t="s">
        <v>522</v>
      </c>
    </row>
    <row r="33" spans="1:18" ht="12" customHeight="1">
      <c r="A33" s="7">
        <f t="shared" ref="A33:A50" si="1">+A12</f>
        <v>2004</v>
      </c>
      <c r="B33" s="402"/>
      <c r="C33" s="402"/>
      <c r="D33" s="402"/>
      <c r="E33" s="402"/>
      <c r="F33" s="402"/>
      <c r="G33" s="402"/>
      <c r="H33" s="402"/>
      <c r="I33" s="402"/>
      <c r="J33" s="402"/>
      <c r="K33" s="402"/>
      <c r="L33" s="402"/>
      <c r="M33" s="402"/>
      <c r="N33" s="402"/>
      <c r="O33" s="402"/>
      <c r="P33" s="402"/>
      <c r="Q33" s="402">
        <v>1.01</v>
      </c>
    </row>
    <row r="34" spans="1:18" ht="12" customHeight="1">
      <c r="A34" s="7">
        <f t="shared" si="1"/>
        <v>2005</v>
      </c>
      <c r="B34" s="402"/>
      <c r="C34" s="402"/>
      <c r="D34" s="402"/>
      <c r="E34" s="402"/>
      <c r="F34" s="402"/>
      <c r="G34" s="402"/>
      <c r="H34" s="402"/>
      <c r="I34" s="402"/>
      <c r="J34" s="402"/>
      <c r="K34" s="402"/>
      <c r="L34" s="402"/>
      <c r="M34" s="402"/>
      <c r="N34" s="402"/>
      <c r="O34" s="402"/>
      <c r="P34" s="402">
        <v>1.0129999999999999</v>
      </c>
      <c r="Q34" s="402">
        <v>1.008</v>
      </c>
    </row>
    <row r="35" spans="1:18" ht="12" customHeight="1">
      <c r="A35" s="7">
        <f t="shared" si="1"/>
        <v>2006</v>
      </c>
      <c r="B35" s="402"/>
      <c r="C35" s="402"/>
      <c r="D35" s="402"/>
      <c r="E35" s="402"/>
      <c r="F35" s="402"/>
      <c r="G35" s="402"/>
      <c r="H35" s="402"/>
      <c r="I35" s="402"/>
      <c r="J35" s="402"/>
      <c r="K35" s="402"/>
      <c r="L35" s="402"/>
      <c r="M35" s="402"/>
      <c r="N35" s="402"/>
      <c r="O35" s="402">
        <v>1.012</v>
      </c>
      <c r="P35" s="402">
        <v>1.0109999999999999</v>
      </c>
      <c r="Q35" s="402">
        <v>1.0089999999999999</v>
      </c>
    </row>
    <row r="36" spans="1:18" ht="12" customHeight="1">
      <c r="A36" s="7">
        <f t="shared" si="1"/>
        <v>2007</v>
      </c>
      <c r="B36" s="402"/>
      <c r="C36" s="402"/>
      <c r="D36" s="402"/>
      <c r="E36" s="402"/>
      <c r="F36" s="402"/>
      <c r="G36" s="402"/>
      <c r="H36" s="402"/>
      <c r="I36" s="402"/>
      <c r="J36" s="402"/>
      <c r="K36" s="402"/>
      <c r="L36" s="402"/>
      <c r="M36" s="402"/>
      <c r="N36" s="402">
        <v>1.014</v>
      </c>
      <c r="O36" s="402">
        <v>1.01</v>
      </c>
      <c r="P36" s="402">
        <v>1.008</v>
      </c>
      <c r="Q36" s="402"/>
    </row>
    <row r="37" spans="1:18" ht="12" customHeight="1">
      <c r="A37" s="7">
        <f t="shared" si="1"/>
        <v>2008</v>
      </c>
      <c r="B37" s="402"/>
      <c r="C37" s="402"/>
      <c r="D37" s="402"/>
      <c r="E37" s="402"/>
      <c r="F37" s="402"/>
      <c r="G37" s="402"/>
      <c r="H37" s="402"/>
      <c r="I37" s="402"/>
      <c r="J37" s="402"/>
      <c r="K37" s="402"/>
      <c r="L37" s="402"/>
      <c r="M37" s="402">
        <v>1.0129999999999999</v>
      </c>
      <c r="N37" s="402">
        <v>1.01</v>
      </c>
      <c r="O37" s="402">
        <v>1.0089999999999999</v>
      </c>
      <c r="P37" s="402"/>
      <c r="Q37" s="402"/>
    </row>
    <row r="38" spans="1:18" ht="12" customHeight="1">
      <c r="A38" s="7">
        <f t="shared" si="1"/>
        <v>2009</v>
      </c>
      <c r="B38" s="402"/>
      <c r="C38" s="402"/>
      <c r="D38" s="402"/>
      <c r="E38" s="402"/>
      <c r="F38" s="402"/>
      <c r="G38" s="402"/>
      <c r="H38" s="402"/>
      <c r="I38" s="402"/>
      <c r="J38" s="402"/>
      <c r="K38" s="402"/>
      <c r="L38" s="402">
        <v>1.014</v>
      </c>
      <c r="M38" s="402">
        <v>1.0149999999999999</v>
      </c>
      <c r="N38" s="402">
        <v>1.01</v>
      </c>
      <c r="O38" s="402"/>
      <c r="P38" s="402"/>
      <c r="Q38" s="402"/>
    </row>
    <row r="39" spans="1:18" ht="12" customHeight="1">
      <c r="A39" s="7">
        <f t="shared" si="1"/>
        <v>2010</v>
      </c>
      <c r="B39" s="402"/>
      <c r="C39" s="402"/>
      <c r="D39" s="402"/>
      <c r="E39" s="402"/>
      <c r="F39" s="402"/>
      <c r="G39" s="402"/>
      <c r="H39" s="402"/>
      <c r="I39" s="402"/>
      <c r="J39" s="402"/>
      <c r="K39" s="402">
        <v>1.0189999999999999</v>
      </c>
      <c r="L39" s="402">
        <v>1.014</v>
      </c>
      <c r="M39" s="402">
        <v>1.0089999999999999</v>
      </c>
      <c r="N39" s="402"/>
      <c r="O39" s="402"/>
      <c r="P39" s="402"/>
      <c r="Q39" s="402"/>
    </row>
    <row r="40" spans="1:18" ht="12" customHeight="1">
      <c r="A40" s="7">
        <f t="shared" si="1"/>
        <v>2011</v>
      </c>
      <c r="B40" s="402"/>
      <c r="C40" s="402"/>
      <c r="D40" s="402"/>
      <c r="E40" s="402"/>
      <c r="F40" s="402"/>
      <c r="G40" s="402"/>
      <c r="H40" s="402"/>
      <c r="I40" s="402"/>
      <c r="J40" s="402">
        <v>1.0189999999999999</v>
      </c>
      <c r="K40" s="402">
        <v>1.016</v>
      </c>
      <c r="L40" s="402">
        <v>1.012</v>
      </c>
      <c r="M40" s="402"/>
      <c r="N40" s="402"/>
      <c r="O40" s="402"/>
      <c r="P40" s="402"/>
      <c r="Q40" s="402"/>
    </row>
    <row r="41" spans="1:18" ht="12" customHeight="1">
      <c r="A41" s="7">
        <f t="shared" si="1"/>
        <v>2012</v>
      </c>
      <c r="B41" s="402"/>
      <c r="C41" s="402"/>
      <c r="D41" s="402"/>
      <c r="E41" s="402"/>
      <c r="F41" s="402"/>
      <c r="G41" s="402"/>
      <c r="H41" s="402"/>
      <c r="I41" s="402">
        <v>1.0249999999999999</v>
      </c>
      <c r="J41" s="402">
        <v>1.02</v>
      </c>
      <c r="K41" s="402">
        <v>1.0149999999999999</v>
      </c>
      <c r="L41" s="402"/>
      <c r="M41" s="402"/>
      <c r="N41" s="402"/>
      <c r="O41" s="402"/>
      <c r="P41" s="402"/>
      <c r="Q41" s="402"/>
    </row>
    <row r="42" spans="1:18" ht="12" customHeight="1">
      <c r="A42" s="7">
        <f t="shared" si="1"/>
        <v>2013</v>
      </c>
      <c r="B42" s="402"/>
      <c r="C42" s="402"/>
      <c r="D42" s="402"/>
      <c r="E42" s="402"/>
      <c r="F42" s="402"/>
      <c r="G42" s="402"/>
      <c r="H42" s="402">
        <v>1.03</v>
      </c>
      <c r="I42" s="402">
        <v>1.022</v>
      </c>
      <c r="J42" s="402">
        <v>1.016</v>
      </c>
      <c r="K42" s="402"/>
      <c r="L42" s="402"/>
      <c r="M42" s="402"/>
      <c r="N42" s="402"/>
      <c r="O42" s="402"/>
      <c r="P42" s="402"/>
      <c r="Q42" s="402"/>
    </row>
    <row r="43" spans="1:18" ht="12" customHeight="1">
      <c r="A43" s="7">
        <f t="shared" si="1"/>
        <v>2014</v>
      </c>
      <c r="B43" s="402"/>
      <c r="C43" s="402"/>
      <c r="D43" s="402"/>
      <c r="E43" s="402"/>
      <c r="F43" s="402"/>
      <c r="G43" s="402">
        <v>1.0449999999999999</v>
      </c>
      <c r="H43" s="402">
        <v>1.0329999999999999</v>
      </c>
      <c r="I43" s="402">
        <v>1.022</v>
      </c>
      <c r="J43" s="402"/>
      <c r="K43" s="402"/>
      <c r="L43" s="402"/>
      <c r="M43" s="402"/>
      <c r="N43" s="402"/>
      <c r="O43" s="402"/>
      <c r="P43" s="402"/>
      <c r="Q43" s="402"/>
    </row>
    <row r="44" spans="1:18" ht="12" customHeight="1">
      <c r="A44" s="7">
        <f t="shared" si="1"/>
        <v>2015</v>
      </c>
      <c r="B44" s="402"/>
      <c r="C44" s="402"/>
      <c r="D44" s="402"/>
      <c r="E44" s="402"/>
      <c r="F44" s="402">
        <v>1.0640000000000001</v>
      </c>
      <c r="G44" s="402">
        <v>1.0429999999999999</v>
      </c>
      <c r="H44" s="402">
        <v>1.0289999999999999</v>
      </c>
      <c r="I44" s="402"/>
      <c r="J44" s="402"/>
      <c r="K44" s="402"/>
      <c r="L44" s="402"/>
      <c r="M44" s="402"/>
      <c r="N44" s="402"/>
      <c r="O44" s="402"/>
      <c r="P44" s="402"/>
      <c r="Q44" s="402"/>
    </row>
    <row r="45" spans="1:18" ht="12" customHeight="1">
      <c r="A45" s="7">
        <f t="shared" si="1"/>
        <v>2016</v>
      </c>
      <c r="B45" s="402"/>
      <c r="C45" s="402"/>
      <c r="D45" s="402"/>
      <c r="E45" s="402">
        <v>1.101</v>
      </c>
      <c r="F45" s="402">
        <v>1.0629999999999999</v>
      </c>
      <c r="G45" s="402">
        <v>1.0469999999999999</v>
      </c>
      <c r="H45" s="402"/>
      <c r="I45" s="402"/>
      <c r="J45" s="402"/>
      <c r="K45" s="402"/>
      <c r="L45" s="402"/>
      <c r="M45" s="402"/>
      <c r="N45" s="402"/>
      <c r="O45" s="402"/>
      <c r="P45" s="402"/>
      <c r="Q45" s="402"/>
    </row>
    <row r="46" spans="1:18" ht="12" customHeight="1">
      <c r="A46" s="7">
        <f t="shared" si="1"/>
        <v>2017</v>
      </c>
      <c r="B46" s="402"/>
      <c r="C46" s="402"/>
      <c r="D46" s="402">
        <v>1.181</v>
      </c>
      <c r="E46" s="402">
        <v>1.101</v>
      </c>
      <c r="F46" s="402">
        <v>1.0680000000000001</v>
      </c>
      <c r="G46" s="402"/>
      <c r="H46" s="402"/>
      <c r="I46" s="402"/>
      <c r="J46" s="402"/>
      <c r="K46" s="402"/>
      <c r="L46" s="402"/>
      <c r="M46" s="402"/>
      <c r="N46" s="402"/>
      <c r="O46" s="402"/>
      <c r="P46" s="402"/>
      <c r="Q46" s="402"/>
    </row>
    <row r="47" spans="1:18" ht="12" customHeight="1">
      <c r="A47" s="1">
        <f t="shared" si="1"/>
        <v>2018</v>
      </c>
      <c r="B47" s="402"/>
      <c r="C47" s="402">
        <v>1.387</v>
      </c>
      <c r="D47" s="402">
        <v>1.1919999999999999</v>
      </c>
      <c r="E47" s="402">
        <v>1.1020000000000001</v>
      </c>
      <c r="F47" s="402"/>
      <c r="G47" s="402"/>
      <c r="H47" s="402"/>
      <c r="I47" s="402"/>
      <c r="J47" s="402"/>
      <c r="K47" s="402"/>
      <c r="L47" s="402"/>
      <c r="M47" s="402"/>
      <c r="N47" s="402"/>
      <c r="O47" s="402"/>
      <c r="P47" s="402"/>
      <c r="Q47" s="402"/>
      <c r="R47" s="57"/>
    </row>
    <row r="48" spans="1:18" ht="12" customHeight="1">
      <c r="A48" s="1">
        <f t="shared" si="1"/>
        <v>2019</v>
      </c>
      <c r="B48" s="402">
        <v>2.367</v>
      </c>
      <c r="C48" s="402">
        <v>1.419</v>
      </c>
      <c r="D48" s="402">
        <v>1.212</v>
      </c>
      <c r="E48" s="402"/>
      <c r="F48" s="402"/>
      <c r="G48" s="402"/>
      <c r="H48" s="402"/>
      <c r="I48" s="402"/>
      <c r="J48" s="402"/>
      <c r="K48" s="402"/>
      <c r="L48" s="402"/>
      <c r="M48" s="402"/>
      <c r="N48" s="402"/>
      <c r="O48" s="402"/>
      <c r="P48" s="402"/>
      <c r="Q48" s="402"/>
      <c r="R48" s="57"/>
    </row>
    <row r="49" spans="1:18" ht="12" customHeight="1">
      <c r="A49" s="1">
        <f t="shared" si="1"/>
        <v>2020</v>
      </c>
      <c r="B49" s="402">
        <v>2.4670000000000001</v>
      </c>
      <c r="C49" s="402">
        <v>1.44</v>
      </c>
      <c r="D49" s="402"/>
      <c r="E49" s="402"/>
      <c r="F49" s="402"/>
      <c r="G49" s="402"/>
      <c r="H49" s="402"/>
      <c r="I49" s="402"/>
      <c r="J49" s="402"/>
      <c r="K49" s="402"/>
      <c r="L49" s="402"/>
      <c r="M49" s="402"/>
      <c r="N49" s="402"/>
      <c r="O49" s="402"/>
      <c r="P49" s="402"/>
      <c r="Q49" s="402"/>
      <c r="R49" s="57"/>
    </row>
    <row r="50" spans="1:18" ht="12" customHeight="1">
      <c r="A50" s="1">
        <f t="shared" si="1"/>
        <v>2021</v>
      </c>
      <c r="B50" s="402">
        <v>2.4940000000000002</v>
      </c>
      <c r="C50" s="402"/>
      <c r="D50" s="402"/>
      <c r="E50" s="402"/>
      <c r="F50" s="402"/>
      <c r="G50" s="402"/>
      <c r="H50" s="402"/>
      <c r="I50" s="402"/>
      <c r="J50" s="402"/>
      <c r="K50" s="402"/>
      <c r="L50" s="402"/>
      <c r="M50" s="402"/>
      <c r="N50" s="402"/>
      <c r="O50" s="402"/>
      <c r="P50" s="402"/>
      <c r="Q50" s="402"/>
      <c r="R50" s="57"/>
    </row>
    <row r="51" spans="1:18">
      <c r="A51" s="1"/>
      <c r="B51" s="1"/>
      <c r="C51" s="11"/>
      <c r="D51" s="11"/>
      <c r="E51" s="11"/>
      <c r="F51" s="11"/>
      <c r="G51" s="11"/>
      <c r="H51" s="11"/>
      <c r="I51" s="12"/>
      <c r="J51" s="12"/>
      <c r="K51" s="12"/>
      <c r="L51" s="12"/>
      <c r="M51" s="12"/>
      <c r="N51" s="12"/>
      <c r="O51" s="12"/>
      <c r="P51" s="12"/>
      <c r="Q51" s="57"/>
      <c r="R51" s="57"/>
    </row>
    <row r="52" spans="1:18">
      <c r="A52" s="1" t="s">
        <v>36</v>
      </c>
      <c r="B52" s="403">
        <f ca="1">OFFSET(B$51,-COUNTA($B$4:B$4),0)</f>
        <v>2.4940000000000002</v>
      </c>
      <c r="C52" s="403">
        <f ca="1">OFFSET(C$51,-COUNTA($B$4:C$4),0)</f>
        <v>1.44</v>
      </c>
      <c r="D52" s="403">
        <f ca="1">OFFSET(D$51,-COUNTA($B$4:D$4),0)</f>
        <v>1.212</v>
      </c>
      <c r="E52" s="403">
        <f ca="1">OFFSET(E$51,-COUNTA($B$4:E$4),0)</f>
        <v>1.1020000000000001</v>
      </c>
      <c r="F52" s="403">
        <f ca="1">OFFSET(F$51,-COUNTA($B$4:F$4),0)</f>
        <v>1.0680000000000001</v>
      </c>
      <c r="G52" s="403">
        <f ca="1">OFFSET(G$51,-COUNTA($B$4:G$4),0)</f>
        <v>1.0469999999999999</v>
      </c>
      <c r="H52" s="403">
        <f ca="1">OFFSET(H$51,-COUNTA($B$4:H$4),0)</f>
        <v>1.0289999999999999</v>
      </c>
      <c r="I52" s="403">
        <f ca="1">OFFSET(I$51,-COUNTA($B$4:I$4),0)</f>
        <v>1.022</v>
      </c>
      <c r="J52" s="403">
        <f ca="1">AVERAGE(OFFSET(J$49:J$51,-COUNTA($B$4:J$4),0))</f>
        <v>1.0183333333333333</v>
      </c>
      <c r="K52" s="403">
        <f ca="1">AVERAGE(OFFSET(K$49:K$51,-COUNTA($B$4:K$4),0))</f>
        <v>1.0166666666666666</v>
      </c>
      <c r="L52" s="403">
        <f ca="1">AVERAGE(OFFSET(L$49:L$51,-COUNTA($B$4:L$4),0))</f>
        <v>1.0133333333333334</v>
      </c>
      <c r="M52" s="403">
        <f ca="1">AVERAGE(OFFSET(M$49:M$51,-COUNTA($B$4:M$4),0))</f>
        <v>1.0123333333333331</v>
      </c>
      <c r="N52" s="403">
        <f ca="1">AVERAGE(OFFSET(N$49:N$51,-COUNTA($B$4:N$4),0))</f>
        <v>1.0113333333333332</v>
      </c>
      <c r="O52" s="403">
        <f ca="1">AVERAGE(OFFSET(O$49:O$51,-COUNTA($B$4:O$4),0))</f>
        <v>1.0103333333333333</v>
      </c>
      <c r="P52" s="403">
        <f ca="1">AVERAGE(OFFSET(P$49:P$51,-COUNTA($B$4:P$4),0))</f>
        <v>1.0106666666666666</v>
      </c>
      <c r="Q52" s="403">
        <f ca="1">AVERAGE(OFFSET(Q$49:Q$51,-COUNTA($B$4:Q$4),0))</f>
        <v>1.0089999999999999</v>
      </c>
      <c r="R52" s="57"/>
    </row>
    <row r="53" spans="1:18">
      <c r="A53" s="1"/>
      <c r="B53" s="11"/>
      <c r="C53" s="11"/>
      <c r="D53" s="11"/>
      <c r="E53" s="11"/>
      <c r="F53" s="11"/>
      <c r="G53" s="11"/>
      <c r="H53" s="11"/>
      <c r="I53" s="11"/>
      <c r="J53" s="11"/>
      <c r="K53" s="11"/>
      <c r="L53" s="11"/>
      <c r="M53" s="11"/>
      <c r="N53" s="11"/>
      <c r="O53" s="11"/>
      <c r="P53" s="11"/>
      <c r="Q53" s="11"/>
      <c r="R53" s="57"/>
    </row>
    <row r="54" spans="1:18">
      <c r="A54" s="16" t="s">
        <v>229</v>
      </c>
      <c r="B54" s="11"/>
      <c r="C54" s="11"/>
      <c r="D54" s="11"/>
      <c r="E54" s="11"/>
      <c r="F54" s="11"/>
      <c r="G54" s="11"/>
      <c r="H54" s="11"/>
      <c r="I54" s="11"/>
      <c r="J54" s="11"/>
      <c r="K54" s="11"/>
      <c r="L54" s="11"/>
      <c r="M54" s="11"/>
      <c r="N54" s="11"/>
      <c r="O54" s="11"/>
      <c r="P54" s="11"/>
      <c r="Q54" s="11"/>
      <c r="R54" s="57"/>
    </row>
    <row r="55" spans="1:18">
      <c r="A55" s="202" t="s">
        <v>310</v>
      </c>
      <c r="B55" s="403">
        <f ca="1">C55*B52</f>
        <v>7.3437942011289712</v>
      </c>
      <c r="C55" s="403">
        <f t="shared" ref="C55:P55" ca="1" si="2">D55*C52</f>
        <v>2.9445846836924501</v>
      </c>
      <c r="D55" s="403">
        <f t="shared" ca="1" si="2"/>
        <v>2.0448504747864238</v>
      </c>
      <c r="E55" s="403">
        <f t="shared" ca="1" si="2"/>
        <v>1.6871703587346731</v>
      </c>
      <c r="F55" s="403">
        <f t="shared" ca="1" si="2"/>
        <v>1.5310075850586868</v>
      </c>
      <c r="G55" s="403">
        <f t="shared" ca="1" si="2"/>
        <v>1.4335277013658116</v>
      </c>
      <c r="H55" s="403">
        <f t="shared" ca="1" si="2"/>
        <v>1.3691764100915107</v>
      </c>
      <c r="I55" s="403">
        <f t="shared" ca="1" si="2"/>
        <v>1.330589319816823</v>
      </c>
      <c r="J55" s="403">
        <f t="shared" ca="1" si="2"/>
        <v>1.3019464968853454</v>
      </c>
      <c r="K55" s="403">
        <f t="shared" ca="1" si="2"/>
        <v>1.2785071982507483</v>
      </c>
      <c r="L55" s="403">
        <f t="shared" ca="1" si="2"/>
        <v>1.2575480638531951</v>
      </c>
      <c r="M55" s="403">
        <f t="shared" ca="1" si="2"/>
        <v>1.2410013788024949</v>
      </c>
      <c r="N55" s="403">
        <f t="shared" ca="1" si="2"/>
        <v>1.2258821654288725</v>
      </c>
      <c r="O55" s="403">
        <f t="shared" ca="1" si="2"/>
        <v>1.2121445274510936</v>
      </c>
      <c r="P55" s="403">
        <f t="shared" ca="1" si="2"/>
        <v>1.1997471403343059</v>
      </c>
      <c r="Q55" s="403">
        <f ca="1">'Exhibit 2.4.2'!B56*Q52</f>
        <v>1.1870849013861866</v>
      </c>
      <c r="R55" s="57"/>
    </row>
    <row r="56" spans="1:18">
      <c r="A56" s="202"/>
      <c r="B56" s="11"/>
      <c r="C56" s="11"/>
      <c r="D56" s="11"/>
      <c r="E56" s="11"/>
      <c r="F56" s="11"/>
      <c r="G56" s="11"/>
      <c r="H56" s="11"/>
      <c r="I56" s="11"/>
      <c r="J56" s="11"/>
      <c r="K56" s="11"/>
      <c r="L56" s="11"/>
      <c r="M56" s="11"/>
      <c r="N56" s="11"/>
      <c r="O56" s="11"/>
      <c r="P56" s="11"/>
      <c r="Q56" s="11"/>
      <c r="R56" s="57"/>
    </row>
    <row r="57" spans="1:18">
      <c r="A57" s="16" t="s">
        <v>312</v>
      </c>
      <c r="B57" s="11"/>
      <c r="C57" s="11"/>
      <c r="D57" s="11"/>
      <c r="E57" s="11"/>
      <c r="F57" s="11"/>
      <c r="G57" s="11"/>
      <c r="H57" s="11"/>
      <c r="I57" s="11"/>
      <c r="J57" s="11"/>
      <c r="K57" s="11"/>
      <c r="L57" s="11"/>
      <c r="M57" s="11"/>
      <c r="N57" s="11"/>
      <c r="O57" s="11"/>
      <c r="P57" s="11"/>
      <c r="Q57" s="11"/>
      <c r="R57" s="57"/>
    </row>
    <row r="58" spans="1:18">
      <c r="A58" s="202" t="s">
        <v>313</v>
      </c>
      <c r="B58" s="403">
        <f ca="1">B52*C55*C69</f>
        <v>7.2612597479138561</v>
      </c>
      <c r="C58" s="403">
        <f ca="1">C52*D55*C70</f>
        <v>2.9114914787144568</v>
      </c>
      <c r="D58" s="403">
        <f ca="1">D52*E55*C71</f>
        <v>2.0218690824405954</v>
      </c>
      <c r="E58" s="403">
        <f ca="1">E52*F55*C72</f>
        <v>1.6682088138948805</v>
      </c>
      <c r="F58" s="403">
        <f ca="1">F52*G55*C73</f>
        <v>1.513801101538004</v>
      </c>
      <c r="G58" s="403">
        <f ca="1">G52*H55*C74</f>
        <v>1.417416761739704</v>
      </c>
      <c r="H58" s="175" t="s">
        <v>32</v>
      </c>
      <c r="I58" s="175" t="s">
        <v>32</v>
      </c>
      <c r="J58" s="175" t="s">
        <v>32</v>
      </c>
      <c r="K58" s="175" t="s">
        <v>32</v>
      </c>
      <c r="L58" s="175" t="s">
        <v>32</v>
      </c>
      <c r="M58" s="175" t="s">
        <v>32</v>
      </c>
      <c r="N58" s="175" t="s">
        <v>32</v>
      </c>
      <c r="O58" s="175" t="s">
        <v>32</v>
      </c>
      <c r="P58" s="175" t="s">
        <v>32</v>
      </c>
      <c r="Q58" s="175" t="s">
        <v>32</v>
      </c>
      <c r="R58" s="57"/>
    </row>
    <row r="59" spans="1:18">
      <c r="A59" s="9"/>
      <c r="B59" s="9"/>
      <c r="C59" s="8"/>
      <c r="D59" s="8"/>
      <c r="E59" s="8"/>
      <c r="F59" s="8"/>
      <c r="G59" s="8"/>
      <c r="H59" s="8"/>
      <c r="I59" s="8"/>
      <c r="J59" s="8"/>
      <c r="K59" s="8"/>
      <c r="L59" s="8"/>
      <c r="M59" s="8"/>
      <c r="N59" s="8"/>
      <c r="O59" s="8"/>
      <c r="P59" s="8"/>
    </row>
    <row r="60" spans="1:18" ht="12.75" customHeight="1">
      <c r="A60" s="5" t="s">
        <v>37</v>
      </c>
      <c r="B60" s="181" t="s">
        <v>280</v>
      </c>
      <c r="C60" s="116"/>
      <c r="D60" s="116"/>
      <c r="E60" s="116"/>
      <c r="F60" s="116"/>
      <c r="G60" s="116"/>
      <c r="H60" s="116"/>
      <c r="I60" s="116"/>
      <c r="J60" s="116"/>
      <c r="K60" s="116"/>
      <c r="L60" s="116"/>
      <c r="M60" s="116"/>
      <c r="N60" s="116"/>
      <c r="O60" s="116"/>
      <c r="P60" s="116"/>
    </row>
    <row r="61" spans="1:18" ht="12.75" customHeight="1">
      <c r="A61" s="5" t="s">
        <v>25</v>
      </c>
      <c r="B61" s="82" t="s">
        <v>486</v>
      </c>
      <c r="C61" s="177"/>
      <c r="D61" s="177"/>
      <c r="E61" s="177"/>
      <c r="F61" s="177"/>
      <c r="G61" s="177"/>
      <c r="H61" s="177"/>
      <c r="I61" s="177"/>
      <c r="J61" s="177"/>
      <c r="K61" s="177"/>
      <c r="L61" s="177"/>
      <c r="M61" s="177"/>
      <c r="N61" s="177"/>
      <c r="O61" s="177"/>
      <c r="P61" s="177"/>
    </row>
    <row r="62" spans="1:18" ht="12.75" customHeight="1">
      <c r="A62" s="5"/>
      <c r="B62" s="82" t="s">
        <v>487</v>
      </c>
      <c r="C62" s="177"/>
      <c r="D62" s="177"/>
      <c r="E62" s="177"/>
      <c r="F62" s="177"/>
      <c r="G62" s="177"/>
      <c r="H62" s="177"/>
      <c r="I62" s="177"/>
      <c r="J62" s="177"/>
      <c r="K62" s="177"/>
      <c r="L62" s="177"/>
      <c r="M62" s="177"/>
      <c r="N62" s="177"/>
      <c r="O62" s="177"/>
      <c r="P62" s="177"/>
    </row>
    <row r="63" spans="1:18" ht="12.75" customHeight="1">
      <c r="A63" s="5" t="s">
        <v>26</v>
      </c>
      <c r="B63" s="82" t="s">
        <v>483</v>
      </c>
      <c r="C63" s="180"/>
      <c r="D63" s="180"/>
      <c r="E63" s="180"/>
      <c r="F63" s="180"/>
      <c r="G63" s="180"/>
      <c r="H63" s="180"/>
      <c r="I63" s="180"/>
      <c r="J63" s="180"/>
      <c r="K63" s="180"/>
      <c r="L63" s="180"/>
      <c r="M63" s="180"/>
      <c r="N63" s="180"/>
      <c r="O63" s="180"/>
      <c r="P63" s="180"/>
    </row>
    <row r="64" spans="1:18" ht="12.75" customHeight="1">
      <c r="A64" s="5" t="s">
        <v>30</v>
      </c>
      <c r="B64" s="28" t="s">
        <v>488</v>
      </c>
      <c r="C64" s="28"/>
      <c r="D64" s="28"/>
      <c r="E64" s="28"/>
      <c r="F64" s="28"/>
      <c r="G64" s="28"/>
      <c r="H64" s="28"/>
      <c r="I64" s="28"/>
      <c r="J64" s="28"/>
      <c r="K64" s="28"/>
      <c r="L64" s="28"/>
      <c r="M64" s="28"/>
      <c r="N64" s="28"/>
      <c r="O64" s="28"/>
      <c r="P64" s="28"/>
    </row>
    <row r="66" spans="1:3">
      <c r="A66" s="381" t="s">
        <v>559</v>
      </c>
      <c r="B66" s="381"/>
      <c r="C66" s="381"/>
    </row>
    <row r="67" spans="1:3">
      <c r="A67" s="404"/>
      <c r="B67" s="405" t="s">
        <v>560</v>
      </c>
      <c r="C67" s="406"/>
    </row>
    <row r="68" spans="1:3">
      <c r="A68" s="407" t="s">
        <v>176</v>
      </c>
      <c r="B68" s="408" t="s">
        <v>232</v>
      </c>
      <c r="C68" s="409" t="s">
        <v>231</v>
      </c>
    </row>
    <row r="69" spans="1:3">
      <c r="A69" s="410">
        <v>2022</v>
      </c>
      <c r="B69" s="411">
        <v>-1.1238666410671838E-2</v>
      </c>
      <c r="C69" s="412">
        <f>1+B69</f>
        <v>0.98876133358932816</v>
      </c>
    </row>
    <row r="70" spans="1:3">
      <c r="A70" s="413">
        <f>A69-1</f>
        <v>2021</v>
      </c>
      <c r="B70" s="414">
        <v>-1.1238666410671838E-2</v>
      </c>
      <c r="C70" s="415">
        <f t="shared" ref="C70:C74" si="3">1+B70</f>
        <v>0.98876133358932816</v>
      </c>
    </row>
    <row r="71" spans="1:3">
      <c r="A71" s="413">
        <f t="shared" ref="A71:A74" si="4">A70-1</f>
        <v>2020</v>
      </c>
      <c r="B71" s="414">
        <v>-1.1238666410671838E-2</v>
      </c>
      <c r="C71" s="415">
        <f t="shared" si="3"/>
        <v>0.98876133358932816</v>
      </c>
    </row>
    <row r="72" spans="1:3">
      <c r="A72" s="413">
        <f t="shared" si="4"/>
        <v>2019</v>
      </c>
      <c r="B72" s="414">
        <v>-1.1238666410671838E-2</v>
      </c>
      <c r="C72" s="415">
        <f t="shared" si="3"/>
        <v>0.98876133358932816</v>
      </c>
    </row>
    <row r="73" spans="1:3">
      <c r="A73" s="413">
        <f t="shared" si="4"/>
        <v>2018</v>
      </c>
      <c r="B73" s="414">
        <v>-1.1238666410671838E-2</v>
      </c>
      <c r="C73" s="415">
        <f t="shared" si="3"/>
        <v>0.98876133358932816</v>
      </c>
    </row>
    <row r="74" spans="1:3">
      <c r="A74" s="416">
        <f t="shared" si="4"/>
        <v>2017</v>
      </c>
      <c r="B74" s="417">
        <v>-1.1238666410671838E-2</v>
      </c>
      <c r="C74" s="418">
        <f t="shared" si="3"/>
        <v>0.98876133358932816</v>
      </c>
    </row>
  </sheetData>
  <printOptions horizontalCentered="1"/>
  <pageMargins left="0.7" right="0.7" top="0.75" bottom="0.75" header="0.3" footer="0.3"/>
  <pageSetup scale="64" orientation="landscape" blackAndWhite="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W61"/>
  <sheetViews>
    <sheetView zoomScaleNormal="100" zoomScaleSheetLayoutView="100" workbookViewId="0"/>
  </sheetViews>
  <sheetFormatPr defaultColWidth="9.1796875" defaultRowHeight="12.5"/>
  <cols>
    <col min="1" max="1" width="12.81640625" style="85" customWidth="1"/>
    <col min="2" max="17" width="7.81640625" style="85" customWidth="1"/>
    <col min="18" max="18" width="7.81640625" style="133" customWidth="1"/>
    <col min="19" max="19" width="7.81640625" style="214" customWidth="1"/>
    <col min="20" max="21" width="7.81640625" style="229" customWidth="1"/>
    <col min="22" max="22" width="7.81640625" style="166" customWidth="1"/>
    <col min="23" max="23" width="13.1796875" style="85" customWidth="1"/>
    <col min="24" max="16384" width="9.1796875" style="85"/>
  </cols>
  <sheetData>
    <row r="1" spans="1:23" ht="15" customHeight="1">
      <c r="A1" s="220" t="s">
        <v>40</v>
      </c>
      <c r="B1" s="220"/>
      <c r="C1" s="220"/>
      <c r="D1" s="220"/>
      <c r="E1" s="220"/>
      <c r="F1" s="220"/>
      <c r="G1" s="220"/>
      <c r="H1" s="220"/>
      <c r="I1" s="220"/>
      <c r="J1" s="220"/>
      <c r="K1" s="220"/>
      <c r="L1" s="220"/>
      <c r="M1" s="220"/>
      <c r="N1" s="220"/>
      <c r="O1" s="220"/>
      <c r="P1" s="220"/>
      <c r="Q1" s="220"/>
      <c r="R1" s="220"/>
      <c r="S1" s="220"/>
      <c r="T1" s="220"/>
      <c r="U1" s="220"/>
      <c r="V1" s="220"/>
      <c r="W1" s="353"/>
    </row>
    <row r="2" spans="1:23">
      <c r="A2" s="343"/>
      <c r="B2" s="343"/>
      <c r="C2" s="343"/>
      <c r="D2" s="343"/>
      <c r="E2" s="343"/>
      <c r="F2" s="343"/>
      <c r="G2" s="343"/>
      <c r="H2" s="343"/>
      <c r="I2" s="343"/>
      <c r="J2" s="343"/>
      <c r="K2" s="343"/>
      <c r="L2" s="343"/>
      <c r="M2" s="343"/>
      <c r="N2" s="343"/>
      <c r="O2" s="343"/>
      <c r="P2" s="343"/>
      <c r="Q2" s="343"/>
      <c r="R2" s="343"/>
      <c r="S2" s="343"/>
      <c r="T2" s="343"/>
      <c r="U2" s="389"/>
      <c r="V2" s="343"/>
      <c r="W2" s="343"/>
    </row>
    <row r="3" spans="1:23" ht="14.5">
      <c r="A3" s="213" t="s">
        <v>58</v>
      </c>
      <c r="B3" s="221" t="s">
        <v>18</v>
      </c>
      <c r="C3" s="221"/>
      <c r="D3" s="221"/>
      <c r="E3" s="221"/>
      <c r="F3" s="221"/>
      <c r="G3" s="221"/>
      <c r="H3" s="221"/>
      <c r="I3" s="221"/>
      <c r="J3" s="221"/>
      <c r="K3" s="221"/>
      <c r="L3" s="221"/>
      <c r="M3" s="221"/>
      <c r="N3" s="221"/>
      <c r="O3" s="221"/>
      <c r="P3" s="221"/>
      <c r="Q3" s="221"/>
      <c r="R3" s="221"/>
      <c r="S3" s="221"/>
      <c r="T3" s="221"/>
      <c r="U3" s="221"/>
      <c r="V3" s="221"/>
      <c r="W3" s="354"/>
    </row>
    <row r="4" spans="1:23">
      <c r="A4" s="216" t="s">
        <v>19</v>
      </c>
      <c r="B4" s="216" t="s">
        <v>523</v>
      </c>
      <c r="C4" s="216" t="s">
        <v>524</v>
      </c>
      <c r="D4" s="216" t="s">
        <v>525</v>
      </c>
      <c r="E4" s="216" t="s">
        <v>526</v>
      </c>
      <c r="F4" s="216" t="s">
        <v>527</v>
      </c>
      <c r="G4" s="216" t="s">
        <v>528</v>
      </c>
      <c r="H4" s="216" t="s">
        <v>529</v>
      </c>
      <c r="I4" s="216" t="s">
        <v>530</v>
      </c>
      <c r="J4" s="216" t="s">
        <v>531</v>
      </c>
      <c r="K4" s="216" t="s">
        <v>532</v>
      </c>
      <c r="L4" s="216" t="s">
        <v>533</v>
      </c>
      <c r="M4" s="216" t="s">
        <v>534</v>
      </c>
      <c r="N4" s="216" t="s">
        <v>535</v>
      </c>
      <c r="O4" s="216" t="s">
        <v>536</v>
      </c>
      <c r="P4" s="216" t="s">
        <v>537</v>
      </c>
      <c r="Q4" s="216" t="s">
        <v>538</v>
      </c>
      <c r="R4" s="216" t="s">
        <v>539</v>
      </c>
      <c r="S4" s="216" t="s">
        <v>540</v>
      </c>
      <c r="T4" s="216" t="s">
        <v>541</v>
      </c>
      <c r="U4" s="216" t="s">
        <v>542</v>
      </c>
      <c r="V4" s="216" t="s">
        <v>543</v>
      </c>
      <c r="W4" s="216" t="s">
        <v>547</v>
      </c>
    </row>
    <row r="5" spans="1:23">
      <c r="A5" s="213">
        <f t="shared" ref="A5:A24" si="0">+A6-1</f>
        <v>1983</v>
      </c>
      <c r="B5" s="402" t="s">
        <v>34</v>
      </c>
      <c r="C5" s="402" t="s">
        <v>34</v>
      </c>
      <c r="D5" s="402" t="s">
        <v>34</v>
      </c>
      <c r="E5" s="402" t="s">
        <v>34</v>
      </c>
      <c r="F5" s="402" t="s">
        <v>34</v>
      </c>
      <c r="G5" s="402" t="s">
        <v>34</v>
      </c>
      <c r="H5" s="402" t="s">
        <v>34</v>
      </c>
      <c r="I5" s="402" t="s">
        <v>34</v>
      </c>
      <c r="J5" s="402" t="s">
        <v>34</v>
      </c>
      <c r="K5" s="402">
        <v>1.0049999999999999</v>
      </c>
      <c r="L5" s="402">
        <v>1.004</v>
      </c>
      <c r="M5" s="402">
        <v>1.004</v>
      </c>
      <c r="N5" s="402">
        <v>1.0029999999999999</v>
      </c>
      <c r="O5" s="402">
        <v>1.004</v>
      </c>
      <c r="P5" s="402">
        <v>1.0029999999999999</v>
      </c>
      <c r="Q5" s="402">
        <v>1.002</v>
      </c>
      <c r="R5" s="402">
        <v>1.004</v>
      </c>
      <c r="S5" s="402">
        <v>1.0029999999999999</v>
      </c>
      <c r="T5" s="402">
        <v>1.0029999999999999</v>
      </c>
      <c r="U5" s="402">
        <v>1.002</v>
      </c>
      <c r="V5" s="402">
        <v>1.002</v>
      </c>
      <c r="W5" s="402"/>
    </row>
    <row r="6" spans="1:23" s="229" customFormat="1">
      <c r="A6" s="213">
        <f t="shared" si="0"/>
        <v>1984</v>
      </c>
      <c r="B6" s="402" t="s">
        <v>34</v>
      </c>
      <c r="C6" s="402" t="s">
        <v>34</v>
      </c>
      <c r="D6" s="402" t="s">
        <v>34</v>
      </c>
      <c r="E6" s="402" t="s">
        <v>34</v>
      </c>
      <c r="F6" s="402" t="s">
        <v>34</v>
      </c>
      <c r="G6" s="402" t="s">
        <v>34</v>
      </c>
      <c r="H6" s="402" t="s">
        <v>34</v>
      </c>
      <c r="I6" s="402" t="s">
        <v>34</v>
      </c>
      <c r="J6" s="402">
        <v>1.004</v>
      </c>
      <c r="K6" s="402">
        <v>1.0029999999999999</v>
      </c>
      <c r="L6" s="402">
        <v>1.004</v>
      </c>
      <c r="M6" s="402">
        <v>1.004</v>
      </c>
      <c r="N6" s="402">
        <v>1.0029999999999999</v>
      </c>
      <c r="O6" s="402">
        <v>1.0029999999999999</v>
      </c>
      <c r="P6" s="402">
        <v>1.002</v>
      </c>
      <c r="Q6" s="402">
        <v>1.002</v>
      </c>
      <c r="R6" s="402">
        <v>1.002</v>
      </c>
      <c r="S6" s="402">
        <v>1.002</v>
      </c>
      <c r="T6" s="402">
        <v>1.002</v>
      </c>
      <c r="U6" s="402">
        <v>1.0009999999999999</v>
      </c>
      <c r="V6" s="402">
        <v>1.0009999999999999</v>
      </c>
      <c r="W6" s="402"/>
    </row>
    <row r="7" spans="1:23" s="229" customFormat="1">
      <c r="A7" s="213">
        <f t="shared" si="0"/>
        <v>1985</v>
      </c>
      <c r="B7" s="402" t="s">
        <v>34</v>
      </c>
      <c r="C7" s="402" t="s">
        <v>34</v>
      </c>
      <c r="D7" s="402" t="s">
        <v>34</v>
      </c>
      <c r="E7" s="402" t="s">
        <v>34</v>
      </c>
      <c r="F7" s="402" t="s">
        <v>34</v>
      </c>
      <c r="G7" s="402" t="s">
        <v>34</v>
      </c>
      <c r="H7" s="402" t="s">
        <v>34</v>
      </c>
      <c r="I7" s="402">
        <v>1.004</v>
      </c>
      <c r="J7" s="402">
        <v>1.0029999999999999</v>
      </c>
      <c r="K7" s="402">
        <v>1.004</v>
      </c>
      <c r="L7" s="402">
        <v>1.004</v>
      </c>
      <c r="M7" s="402">
        <v>1.004</v>
      </c>
      <c r="N7" s="402">
        <v>1.0029999999999999</v>
      </c>
      <c r="O7" s="402">
        <v>1.002</v>
      </c>
      <c r="P7" s="402">
        <v>1.0029999999999999</v>
      </c>
      <c r="Q7" s="402">
        <v>1.002</v>
      </c>
      <c r="R7" s="402">
        <v>1.002</v>
      </c>
      <c r="S7" s="402">
        <v>1.002</v>
      </c>
      <c r="T7" s="402">
        <v>1.002</v>
      </c>
      <c r="U7" s="402">
        <v>1.0009999999999999</v>
      </c>
      <c r="V7" s="402">
        <v>1.002</v>
      </c>
      <c r="W7" s="402"/>
    </row>
    <row r="8" spans="1:23" s="214" customFormat="1">
      <c r="A8" s="213">
        <f t="shared" si="0"/>
        <v>1986</v>
      </c>
      <c r="B8" s="402" t="s">
        <v>34</v>
      </c>
      <c r="C8" s="402" t="s">
        <v>34</v>
      </c>
      <c r="D8" s="402" t="s">
        <v>34</v>
      </c>
      <c r="E8" s="402" t="s">
        <v>34</v>
      </c>
      <c r="F8" s="402" t="s">
        <v>34</v>
      </c>
      <c r="G8" s="402" t="s">
        <v>34</v>
      </c>
      <c r="H8" s="402">
        <v>1.0049999999999999</v>
      </c>
      <c r="I8" s="402">
        <v>1.0049999999999999</v>
      </c>
      <c r="J8" s="402">
        <v>1.0049999999999999</v>
      </c>
      <c r="K8" s="402">
        <v>1.0049999999999999</v>
      </c>
      <c r="L8" s="402">
        <v>1.0049999999999999</v>
      </c>
      <c r="M8" s="402">
        <v>1.0049999999999999</v>
      </c>
      <c r="N8" s="402">
        <v>1.004</v>
      </c>
      <c r="O8" s="402">
        <v>1.006</v>
      </c>
      <c r="P8" s="402">
        <v>1.004</v>
      </c>
      <c r="Q8" s="402">
        <v>1.004</v>
      </c>
      <c r="R8" s="402">
        <v>1.0029999999999999</v>
      </c>
      <c r="S8" s="402">
        <v>1.0029999999999999</v>
      </c>
      <c r="T8" s="402">
        <v>1.0009999999999999</v>
      </c>
      <c r="U8" s="402">
        <v>1.002</v>
      </c>
      <c r="V8" s="402" t="s">
        <v>34</v>
      </c>
      <c r="W8" s="402"/>
    </row>
    <row r="9" spans="1:23" s="171" customFormat="1">
      <c r="A9" s="213">
        <f t="shared" si="0"/>
        <v>1987</v>
      </c>
      <c r="B9" s="402" t="s">
        <v>34</v>
      </c>
      <c r="C9" s="402" t="s">
        <v>34</v>
      </c>
      <c r="D9" s="402" t="s">
        <v>34</v>
      </c>
      <c r="E9" s="402" t="s">
        <v>34</v>
      </c>
      <c r="F9" s="402" t="s">
        <v>34</v>
      </c>
      <c r="G9" s="402">
        <v>1.0049999999999999</v>
      </c>
      <c r="H9" s="402">
        <v>1.0049999999999999</v>
      </c>
      <c r="I9" s="402">
        <v>1.0049999999999999</v>
      </c>
      <c r="J9" s="402">
        <v>1.0049999999999999</v>
      </c>
      <c r="K9" s="402">
        <v>1.0049999999999999</v>
      </c>
      <c r="L9" s="402">
        <v>1.0049999999999999</v>
      </c>
      <c r="M9" s="402">
        <v>1.0029999999999999</v>
      </c>
      <c r="N9" s="402">
        <v>1.0029999999999999</v>
      </c>
      <c r="O9" s="402">
        <v>1.0029999999999999</v>
      </c>
      <c r="P9" s="402">
        <v>1.0029999999999999</v>
      </c>
      <c r="Q9" s="402">
        <v>1.002</v>
      </c>
      <c r="R9" s="402">
        <v>1.002</v>
      </c>
      <c r="S9" s="402">
        <v>1.0029999999999999</v>
      </c>
      <c r="T9" s="402">
        <v>1.002</v>
      </c>
      <c r="U9" s="402" t="s">
        <v>34</v>
      </c>
      <c r="V9" s="402" t="s">
        <v>34</v>
      </c>
      <c r="W9" s="402"/>
    </row>
    <row r="10" spans="1:23">
      <c r="A10" s="213">
        <f t="shared" si="0"/>
        <v>1988</v>
      </c>
      <c r="B10" s="402" t="s">
        <v>34</v>
      </c>
      <c r="C10" s="402" t="s">
        <v>34</v>
      </c>
      <c r="D10" s="402" t="s">
        <v>34</v>
      </c>
      <c r="E10" s="402" t="s">
        <v>34</v>
      </c>
      <c r="F10" s="402">
        <v>1.0049999999999999</v>
      </c>
      <c r="G10" s="402">
        <v>1.0049999999999999</v>
      </c>
      <c r="H10" s="402">
        <v>1.006</v>
      </c>
      <c r="I10" s="402">
        <v>1.0049999999999999</v>
      </c>
      <c r="J10" s="402">
        <v>1.0049999999999999</v>
      </c>
      <c r="K10" s="402">
        <v>1.004</v>
      </c>
      <c r="L10" s="402">
        <v>1.0029999999999999</v>
      </c>
      <c r="M10" s="402">
        <v>1.0029999999999999</v>
      </c>
      <c r="N10" s="402">
        <v>1.0029999999999999</v>
      </c>
      <c r="O10" s="402">
        <v>1.004</v>
      </c>
      <c r="P10" s="402">
        <v>1.0029999999999999</v>
      </c>
      <c r="Q10" s="402">
        <v>1.002</v>
      </c>
      <c r="R10" s="402">
        <v>1.0029999999999999</v>
      </c>
      <c r="S10" s="402">
        <v>1.002</v>
      </c>
      <c r="T10" s="402" t="s">
        <v>34</v>
      </c>
      <c r="U10" s="402" t="s">
        <v>34</v>
      </c>
      <c r="V10" s="402" t="s">
        <v>34</v>
      </c>
      <c r="W10" s="402"/>
    </row>
    <row r="11" spans="1:23">
      <c r="A11" s="213">
        <f t="shared" si="0"/>
        <v>1989</v>
      </c>
      <c r="B11" s="402" t="s">
        <v>34</v>
      </c>
      <c r="C11" s="402" t="s">
        <v>34</v>
      </c>
      <c r="D11" s="402" t="s">
        <v>34</v>
      </c>
      <c r="E11" s="402">
        <v>1.0049999999999999</v>
      </c>
      <c r="F11" s="402">
        <v>1.006</v>
      </c>
      <c r="G11" s="402">
        <v>1.008</v>
      </c>
      <c r="H11" s="402">
        <v>1.006</v>
      </c>
      <c r="I11" s="402">
        <v>1.0069999999999999</v>
      </c>
      <c r="J11" s="402">
        <v>1.006</v>
      </c>
      <c r="K11" s="402">
        <v>1.0029999999999999</v>
      </c>
      <c r="L11" s="402">
        <v>1.0029999999999999</v>
      </c>
      <c r="M11" s="402">
        <v>1.0029999999999999</v>
      </c>
      <c r="N11" s="402">
        <v>1.0029999999999999</v>
      </c>
      <c r="O11" s="402">
        <v>1.0029999999999999</v>
      </c>
      <c r="P11" s="402">
        <v>1.004</v>
      </c>
      <c r="Q11" s="402">
        <v>1.002</v>
      </c>
      <c r="R11" s="402">
        <v>1.002</v>
      </c>
      <c r="S11" s="402" t="s">
        <v>34</v>
      </c>
      <c r="T11" s="402" t="s">
        <v>34</v>
      </c>
      <c r="U11" s="402" t="s">
        <v>34</v>
      </c>
      <c r="V11" s="402" t="s">
        <v>34</v>
      </c>
      <c r="W11" s="402"/>
    </row>
    <row r="12" spans="1:23">
      <c r="A12" s="213">
        <f t="shared" si="0"/>
        <v>1990</v>
      </c>
      <c r="B12" s="402" t="s">
        <v>34</v>
      </c>
      <c r="C12" s="402" t="s">
        <v>34</v>
      </c>
      <c r="D12" s="402">
        <v>1.0049999999999999</v>
      </c>
      <c r="E12" s="402">
        <v>1.0049999999999999</v>
      </c>
      <c r="F12" s="402">
        <v>1.0049999999999999</v>
      </c>
      <c r="G12" s="402">
        <v>1.006</v>
      </c>
      <c r="H12" s="402">
        <v>1.004</v>
      </c>
      <c r="I12" s="402">
        <v>1.004</v>
      </c>
      <c r="J12" s="402">
        <v>1.0029999999999999</v>
      </c>
      <c r="K12" s="402">
        <v>1.002</v>
      </c>
      <c r="L12" s="402">
        <v>1.0029999999999999</v>
      </c>
      <c r="M12" s="402">
        <v>1.002</v>
      </c>
      <c r="N12" s="402">
        <v>1.0029999999999999</v>
      </c>
      <c r="O12" s="402">
        <v>1.002</v>
      </c>
      <c r="P12" s="402">
        <v>1.0029999999999999</v>
      </c>
      <c r="Q12" s="402">
        <v>1.0009999999999999</v>
      </c>
      <c r="R12" s="402" t="s">
        <v>34</v>
      </c>
      <c r="S12" s="402" t="s">
        <v>34</v>
      </c>
      <c r="T12" s="402" t="s">
        <v>34</v>
      </c>
      <c r="U12" s="402" t="s">
        <v>34</v>
      </c>
      <c r="V12" s="402" t="s">
        <v>34</v>
      </c>
      <c r="W12" s="402"/>
    </row>
    <row r="13" spans="1:23">
      <c r="A13" s="213">
        <f t="shared" si="0"/>
        <v>1991</v>
      </c>
      <c r="B13" s="402" t="s">
        <v>34</v>
      </c>
      <c r="C13" s="402">
        <v>1.006</v>
      </c>
      <c r="D13" s="402">
        <v>1.006</v>
      </c>
      <c r="E13" s="402">
        <v>1.0049999999999999</v>
      </c>
      <c r="F13" s="402">
        <v>1.006</v>
      </c>
      <c r="G13" s="402">
        <v>1.0049999999999999</v>
      </c>
      <c r="H13" s="402">
        <v>1.006</v>
      </c>
      <c r="I13" s="402">
        <v>1.0029999999999999</v>
      </c>
      <c r="J13" s="402">
        <v>1.0029999999999999</v>
      </c>
      <c r="K13" s="402">
        <v>1.0029999999999999</v>
      </c>
      <c r="L13" s="402">
        <v>1.0029999999999999</v>
      </c>
      <c r="M13" s="402">
        <v>1.004</v>
      </c>
      <c r="N13" s="402">
        <v>1.0029999999999999</v>
      </c>
      <c r="O13" s="402">
        <v>1.002</v>
      </c>
      <c r="P13" s="402">
        <v>1.002</v>
      </c>
      <c r="Q13" s="402" t="s">
        <v>34</v>
      </c>
      <c r="R13" s="402" t="s">
        <v>34</v>
      </c>
      <c r="S13" s="402" t="s">
        <v>34</v>
      </c>
      <c r="T13" s="402" t="s">
        <v>34</v>
      </c>
      <c r="U13" s="402" t="s">
        <v>34</v>
      </c>
      <c r="V13" s="402" t="s">
        <v>34</v>
      </c>
      <c r="W13" s="402"/>
    </row>
    <row r="14" spans="1:23">
      <c r="A14" s="213">
        <f t="shared" si="0"/>
        <v>1992</v>
      </c>
      <c r="B14" s="402">
        <v>1.008</v>
      </c>
      <c r="C14" s="402">
        <v>1.0069999999999999</v>
      </c>
      <c r="D14" s="402">
        <v>1.002</v>
      </c>
      <c r="E14" s="402">
        <v>1.006</v>
      </c>
      <c r="F14" s="402">
        <v>1.008</v>
      </c>
      <c r="G14" s="402">
        <v>1.006</v>
      </c>
      <c r="H14" s="402">
        <v>1.0049999999999999</v>
      </c>
      <c r="I14" s="402">
        <v>1.0049999999999999</v>
      </c>
      <c r="J14" s="402">
        <v>1.0049999999999999</v>
      </c>
      <c r="K14" s="402">
        <v>1.004</v>
      </c>
      <c r="L14" s="402">
        <v>1.006</v>
      </c>
      <c r="M14" s="402">
        <v>1.0029999999999999</v>
      </c>
      <c r="N14" s="402">
        <v>1.0029999999999999</v>
      </c>
      <c r="O14" s="402">
        <v>1.002</v>
      </c>
      <c r="P14" s="402" t="s">
        <v>34</v>
      </c>
      <c r="Q14" s="402" t="s">
        <v>34</v>
      </c>
      <c r="R14" s="402" t="s">
        <v>34</v>
      </c>
      <c r="S14" s="402" t="s">
        <v>34</v>
      </c>
      <c r="T14" s="402" t="s">
        <v>34</v>
      </c>
      <c r="U14" s="402" t="s">
        <v>34</v>
      </c>
      <c r="V14" s="402" t="s">
        <v>34</v>
      </c>
      <c r="W14" s="402"/>
    </row>
    <row r="15" spans="1:23">
      <c r="A15" s="213">
        <f t="shared" si="0"/>
        <v>1993</v>
      </c>
      <c r="B15" s="402">
        <v>1.0109999999999999</v>
      </c>
      <c r="C15" s="402">
        <v>1.0109999999999999</v>
      </c>
      <c r="D15" s="402">
        <v>1.01</v>
      </c>
      <c r="E15" s="402">
        <v>1.0129999999999999</v>
      </c>
      <c r="F15" s="402">
        <v>1.0109999999999999</v>
      </c>
      <c r="G15" s="402">
        <v>1.0069999999999999</v>
      </c>
      <c r="H15" s="402">
        <v>1.006</v>
      </c>
      <c r="I15" s="402">
        <v>1.006</v>
      </c>
      <c r="J15" s="402">
        <v>1.0049999999999999</v>
      </c>
      <c r="K15" s="402">
        <v>1.008</v>
      </c>
      <c r="L15" s="402">
        <v>1.0029999999999999</v>
      </c>
      <c r="M15" s="402">
        <v>1.002</v>
      </c>
      <c r="N15" s="402">
        <v>1.002</v>
      </c>
      <c r="O15" s="402" t="s">
        <v>34</v>
      </c>
      <c r="P15" s="402" t="s">
        <v>34</v>
      </c>
      <c r="Q15" s="402" t="s">
        <v>34</v>
      </c>
      <c r="R15" s="402" t="s">
        <v>34</v>
      </c>
      <c r="S15" s="402" t="s">
        <v>34</v>
      </c>
      <c r="T15" s="402" t="s">
        <v>34</v>
      </c>
      <c r="U15" s="402" t="s">
        <v>34</v>
      </c>
      <c r="V15" s="402" t="s">
        <v>34</v>
      </c>
      <c r="W15" s="402"/>
    </row>
    <row r="16" spans="1:23">
      <c r="A16" s="213">
        <f t="shared" si="0"/>
        <v>1994</v>
      </c>
      <c r="B16" s="402">
        <v>1.0129999999999999</v>
      </c>
      <c r="C16" s="402">
        <v>1.0089999999999999</v>
      </c>
      <c r="D16" s="402">
        <v>1.01</v>
      </c>
      <c r="E16" s="402">
        <v>1.01</v>
      </c>
      <c r="F16" s="402">
        <v>1.0089999999999999</v>
      </c>
      <c r="G16" s="402">
        <v>1.008</v>
      </c>
      <c r="H16" s="402">
        <v>1.0069999999999999</v>
      </c>
      <c r="I16" s="402">
        <v>1.004</v>
      </c>
      <c r="J16" s="402">
        <v>1.004</v>
      </c>
      <c r="K16" s="402">
        <v>1.0049999999999999</v>
      </c>
      <c r="L16" s="402">
        <v>1.004</v>
      </c>
      <c r="M16" s="402">
        <v>1.004</v>
      </c>
      <c r="N16" s="402" t="s">
        <v>34</v>
      </c>
      <c r="O16" s="402" t="s">
        <v>34</v>
      </c>
      <c r="P16" s="402" t="s">
        <v>34</v>
      </c>
      <c r="Q16" s="402" t="s">
        <v>34</v>
      </c>
      <c r="R16" s="402" t="s">
        <v>34</v>
      </c>
      <c r="S16" s="402" t="s">
        <v>34</v>
      </c>
      <c r="T16" s="402" t="s">
        <v>34</v>
      </c>
      <c r="U16" s="402" t="s">
        <v>34</v>
      </c>
      <c r="V16" s="402" t="s">
        <v>34</v>
      </c>
      <c r="W16" s="402"/>
    </row>
    <row r="17" spans="1:23">
      <c r="A17" s="213">
        <f t="shared" si="0"/>
        <v>1995</v>
      </c>
      <c r="B17" s="402">
        <v>1.0109999999999999</v>
      </c>
      <c r="C17" s="402">
        <v>1.016</v>
      </c>
      <c r="D17" s="402">
        <v>1.0129999999999999</v>
      </c>
      <c r="E17" s="402">
        <v>1.012</v>
      </c>
      <c r="F17" s="402">
        <v>1.0089999999999999</v>
      </c>
      <c r="G17" s="402">
        <v>1.012</v>
      </c>
      <c r="H17" s="402">
        <v>1.0069999999999999</v>
      </c>
      <c r="I17" s="402">
        <v>1.008</v>
      </c>
      <c r="J17" s="402">
        <v>1.0069999999999999</v>
      </c>
      <c r="K17" s="402">
        <v>1.0049999999999999</v>
      </c>
      <c r="L17" s="402">
        <v>1.004</v>
      </c>
      <c r="M17" s="402" t="s">
        <v>34</v>
      </c>
      <c r="N17" s="402" t="s">
        <v>34</v>
      </c>
      <c r="O17" s="402" t="s">
        <v>34</v>
      </c>
      <c r="P17" s="402" t="s">
        <v>34</v>
      </c>
      <c r="Q17" s="402" t="s">
        <v>34</v>
      </c>
      <c r="R17" s="402" t="s">
        <v>34</v>
      </c>
      <c r="S17" s="402" t="s">
        <v>34</v>
      </c>
      <c r="T17" s="402" t="s">
        <v>34</v>
      </c>
      <c r="U17" s="402" t="s">
        <v>34</v>
      </c>
      <c r="V17" s="402" t="s">
        <v>34</v>
      </c>
      <c r="W17" s="402"/>
    </row>
    <row r="18" spans="1:23">
      <c r="A18" s="213">
        <f t="shared" si="0"/>
        <v>1996</v>
      </c>
      <c r="B18" s="402">
        <v>1.014</v>
      </c>
      <c r="C18" s="402">
        <v>1.0129999999999999</v>
      </c>
      <c r="D18" s="402">
        <v>1.0109999999999999</v>
      </c>
      <c r="E18" s="402">
        <v>1.0089999999999999</v>
      </c>
      <c r="F18" s="402">
        <v>1.0069999999999999</v>
      </c>
      <c r="G18" s="402">
        <v>1.0089999999999999</v>
      </c>
      <c r="H18" s="402">
        <v>1.008</v>
      </c>
      <c r="I18" s="402">
        <v>1.006</v>
      </c>
      <c r="J18" s="402">
        <v>1.004</v>
      </c>
      <c r="K18" s="402">
        <v>1.0049999999999999</v>
      </c>
      <c r="L18" s="402" t="s">
        <v>34</v>
      </c>
      <c r="M18" s="402" t="s">
        <v>34</v>
      </c>
      <c r="N18" s="402" t="s">
        <v>34</v>
      </c>
      <c r="O18" s="402" t="s">
        <v>34</v>
      </c>
      <c r="P18" s="402" t="s">
        <v>34</v>
      </c>
      <c r="Q18" s="402" t="s">
        <v>34</v>
      </c>
      <c r="R18" s="402" t="s">
        <v>34</v>
      </c>
      <c r="S18" s="402" t="s">
        <v>34</v>
      </c>
      <c r="T18" s="402" t="s">
        <v>34</v>
      </c>
      <c r="U18" s="402" t="s">
        <v>34</v>
      </c>
      <c r="V18" s="402" t="s">
        <v>34</v>
      </c>
      <c r="W18" s="402"/>
    </row>
    <row r="19" spans="1:23">
      <c r="A19" s="213">
        <f t="shared" si="0"/>
        <v>1997</v>
      </c>
      <c r="B19" s="402">
        <v>1.014</v>
      </c>
      <c r="C19" s="402">
        <v>1.0109999999999999</v>
      </c>
      <c r="D19" s="402">
        <v>1.006</v>
      </c>
      <c r="E19" s="402">
        <v>1.006</v>
      </c>
      <c r="F19" s="402">
        <v>1.0069999999999999</v>
      </c>
      <c r="G19" s="402">
        <v>1.0069999999999999</v>
      </c>
      <c r="H19" s="402">
        <v>1.006</v>
      </c>
      <c r="I19" s="402">
        <v>1.004</v>
      </c>
      <c r="J19" s="402">
        <v>1.004</v>
      </c>
      <c r="K19" s="402" t="s">
        <v>34</v>
      </c>
      <c r="L19" s="402" t="s">
        <v>34</v>
      </c>
      <c r="M19" s="402" t="s">
        <v>34</v>
      </c>
      <c r="N19" s="402" t="s">
        <v>34</v>
      </c>
      <c r="O19" s="402" t="s">
        <v>34</v>
      </c>
      <c r="P19" s="402" t="s">
        <v>34</v>
      </c>
      <c r="Q19" s="402" t="s">
        <v>34</v>
      </c>
      <c r="R19" s="402" t="s">
        <v>34</v>
      </c>
      <c r="S19" s="402" t="s">
        <v>34</v>
      </c>
      <c r="T19" s="402" t="s">
        <v>34</v>
      </c>
      <c r="U19" s="402" t="s">
        <v>34</v>
      </c>
      <c r="V19" s="402" t="s">
        <v>34</v>
      </c>
      <c r="W19" s="402"/>
    </row>
    <row r="20" spans="1:23">
      <c r="A20" s="213">
        <f t="shared" si="0"/>
        <v>1998</v>
      </c>
      <c r="B20" s="402">
        <v>1.0129999999999999</v>
      </c>
      <c r="C20" s="402">
        <v>1.01</v>
      </c>
      <c r="D20" s="402">
        <v>1.0089999999999999</v>
      </c>
      <c r="E20" s="402">
        <v>1.008</v>
      </c>
      <c r="F20" s="402">
        <v>1.0089999999999999</v>
      </c>
      <c r="G20" s="402">
        <v>1.0069999999999999</v>
      </c>
      <c r="H20" s="402">
        <v>1.006</v>
      </c>
      <c r="I20" s="402">
        <v>1.0049999999999999</v>
      </c>
      <c r="J20" s="402" t="s">
        <v>34</v>
      </c>
      <c r="K20" s="402" t="s">
        <v>34</v>
      </c>
      <c r="L20" s="402" t="s">
        <v>34</v>
      </c>
      <c r="M20" s="402" t="s">
        <v>34</v>
      </c>
      <c r="N20" s="402" t="s">
        <v>34</v>
      </c>
      <c r="O20" s="402" t="s">
        <v>34</v>
      </c>
      <c r="P20" s="402" t="s">
        <v>34</v>
      </c>
      <c r="Q20" s="402" t="s">
        <v>34</v>
      </c>
      <c r="R20" s="402" t="s">
        <v>34</v>
      </c>
      <c r="S20" s="402" t="s">
        <v>34</v>
      </c>
      <c r="T20" s="402" t="s">
        <v>34</v>
      </c>
      <c r="U20" s="402" t="s">
        <v>34</v>
      </c>
      <c r="V20" s="402" t="s">
        <v>34</v>
      </c>
      <c r="W20" s="402"/>
    </row>
    <row r="21" spans="1:23">
      <c r="A21" s="213">
        <f t="shared" si="0"/>
        <v>1999</v>
      </c>
      <c r="B21" s="402">
        <v>1.012</v>
      </c>
      <c r="C21" s="402">
        <v>1.0089999999999999</v>
      </c>
      <c r="D21" s="402">
        <v>1.0089999999999999</v>
      </c>
      <c r="E21" s="402">
        <v>1.008</v>
      </c>
      <c r="F21" s="402">
        <v>1.006</v>
      </c>
      <c r="G21" s="402">
        <v>1.0049999999999999</v>
      </c>
      <c r="H21" s="402">
        <v>1.004</v>
      </c>
      <c r="I21" s="402" t="s">
        <v>34</v>
      </c>
      <c r="J21" s="402" t="s">
        <v>34</v>
      </c>
      <c r="K21" s="402" t="s">
        <v>34</v>
      </c>
      <c r="L21" s="402" t="s">
        <v>34</v>
      </c>
      <c r="M21" s="402" t="s">
        <v>34</v>
      </c>
      <c r="N21" s="402" t="s">
        <v>34</v>
      </c>
      <c r="O21" s="402" t="s">
        <v>34</v>
      </c>
      <c r="P21" s="402" t="s">
        <v>34</v>
      </c>
      <c r="Q21" s="402" t="s">
        <v>34</v>
      </c>
      <c r="R21" s="402" t="s">
        <v>34</v>
      </c>
      <c r="S21" s="402" t="s">
        <v>34</v>
      </c>
      <c r="T21" s="402" t="s">
        <v>34</v>
      </c>
      <c r="U21" s="402" t="s">
        <v>34</v>
      </c>
      <c r="V21" s="402" t="s">
        <v>34</v>
      </c>
      <c r="W21" s="402"/>
    </row>
    <row r="22" spans="1:23">
      <c r="A22" s="213">
        <f t="shared" si="0"/>
        <v>2000</v>
      </c>
      <c r="B22" s="402">
        <v>1.0089999999999999</v>
      </c>
      <c r="C22" s="402">
        <v>1.008</v>
      </c>
      <c r="D22" s="402">
        <v>1.0069999999999999</v>
      </c>
      <c r="E22" s="402">
        <v>1.006</v>
      </c>
      <c r="F22" s="402">
        <v>1.0049999999999999</v>
      </c>
      <c r="G22" s="402">
        <v>1.0029999999999999</v>
      </c>
      <c r="H22" s="402" t="s">
        <v>34</v>
      </c>
      <c r="I22" s="402" t="s">
        <v>34</v>
      </c>
      <c r="J22" s="402" t="s">
        <v>34</v>
      </c>
      <c r="K22" s="402" t="s">
        <v>34</v>
      </c>
      <c r="L22" s="402" t="s">
        <v>34</v>
      </c>
      <c r="M22" s="402" t="s">
        <v>34</v>
      </c>
      <c r="N22" s="402" t="s">
        <v>34</v>
      </c>
      <c r="O22" s="402" t="s">
        <v>34</v>
      </c>
      <c r="P22" s="402" t="s">
        <v>34</v>
      </c>
      <c r="Q22" s="402" t="s">
        <v>34</v>
      </c>
      <c r="R22" s="402" t="s">
        <v>34</v>
      </c>
      <c r="S22" s="402" t="s">
        <v>34</v>
      </c>
      <c r="T22" s="402" t="s">
        <v>34</v>
      </c>
      <c r="U22" s="402" t="s">
        <v>34</v>
      </c>
      <c r="V22" s="402" t="s">
        <v>34</v>
      </c>
      <c r="W22" s="402"/>
    </row>
    <row r="23" spans="1:23">
      <c r="A23" s="213">
        <f t="shared" si="0"/>
        <v>2001</v>
      </c>
      <c r="B23" s="402">
        <v>1.01</v>
      </c>
      <c r="C23" s="402">
        <v>1.01</v>
      </c>
      <c r="D23" s="402">
        <v>1.0089999999999999</v>
      </c>
      <c r="E23" s="402">
        <v>1.0049999999999999</v>
      </c>
      <c r="F23" s="402">
        <v>1.004</v>
      </c>
      <c r="G23" s="402" t="s">
        <v>34</v>
      </c>
      <c r="H23" s="402" t="s">
        <v>34</v>
      </c>
      <c r="I23" s="402" t="s">
        <v>34</v>
      </c>
      <c r="J23" s="402" t="s">
        <v>34</v>
      </c>
      <c r="K23" s="402" t="s">
        <v>34</v>
      </c>
      <c r="L23" s="402" t="s">
        <v>34</v>
      </c>
      <c r="M23" s="402" t="s">
        <v>34</v>
      </c>
      <c r="N23" s="402" t="s">
        <v>34</v>
      </c>
      <c r="O23" s="402" t="s">
        <v>34</v>
      </c>
      <c r="P23" s="402" t="s">
        <v>34</v>
      </c>
      <c r="Q23" s="402" t="s">
        <v>34</v>
      </c>
      <c r="R23" s="402" t="s">
        <v>34</v>
      </c>
      <c r="S23" s="402" t="s">
        <v>34</v>
      </c>
      <c r="T23" s="402" t="s">
        <v>34</v>
      </c>
      <c r="U23" s="402" t="s">
        <v>34</v>
      </c>
      <c r="V23" s="402" t="s">
        <v>34</v>
      </c>
      <c r="W23" s="402"/>
    </row>
    <row r="24" spans="1:23">
      <c r="A24" s="213">
        <f t="shared" si="0"/>
        <v>2002</v>
      </c>
      <c r="B24" s="402">
        <v>1.0089999999999999</v>
      </c>
      <c r="C24" s="402">
        <v>1.008</v>
      </c>
      <c r="D24" s="402">
        <v>1.006</v>
      </c>
      <c r="E24" s="402">
        <v>1.004</v>
      </c>
      <c r="F24" s="402" t="s">
        <v>34</v>
      </c>
      <c r="G24" s="402" t="s">
        <v>34</v>
      </c>
      <c r="H24" s="402" t="s">
        <v>34</v>
      </c>
      <c r="I24" s="402" t="s">
        <v>34</v>
      </c>
      <c r="J24" s="402" t="s">
        <v>34</v>
      </c>
      <c r="K24" s="402" t="s">
        <v>34</v>
      </c>
      <c r="L24" s="402" t="s">
        <v>34</v>
      </c>
      <c r="M24" s="402" t="s">
        <v>34</v>
      </c>
      <c r="N24" s="402" t="s">
        <v>34</v>
      </c>
      <c r="O24" s="402" t="s">
        <v>34</v>
      </c>
      <c r="P24" s="402" t="s">
        <v>34</v>
      </c>
      <c r="Q24" s="402" t="s">
        <v>34</v>
      </c>
      <c r="R24" s="402" t="s">
        <v>34</v>
      </c>
      <c r="S24" s="402" t="s">
        <v>34</v>
      </c>
      <c r="T24" s="402" t="s">
        <v>34</v>
      </c>
      <c r="U24" s="402" t="s">
        <v>34</v>
      </c>
      <c r="V24" s="402" t="s">
        <v>34</v>
      </c>
      <c r="W24" s="402"/>
    </row>
    <row r="25" spans="1:23">
      <c r="A25" s="213">
        <f>+A26-1</f>
        <v>2003</v>
      </c>
      <c r="B25" s="402">
        <v>1.01</v>
      </c>
      <c r="C25" s="402">
        <v>1.008</v>
      </c>
      <c r="D25" s="402">
        <v>1.004</v>
      </c>
      <c r="E25" s="402" t="s">
        <v>34</v>
      </c>
      <c r="F25" s="402" t="s">
        <v>34</v>
      </c>
      <c r="G25" s="402" t="s">
        <v>34</v>
      </c>
      <c r="H25" s="402" t="s">
        <v>34</v>
      </c>
      <c r="I25" s="402" t="s">
        <v>34</v>
      </c>
      <c r="J25" s="402" t="s">
        <v>34</v>
      </c>
      <c r="K25" s="402" t="s">
        <v>34</v>
      </c>
      <c r="L25" s="402" t="s">
        <v>34</v>
      </c>
      <c r="M25" s="402" t="s">
        <v>34</v>
      </c>
      <c r="N25" s="402" t="s">
        <v>34</v>
      </c>
      <c r="O25" s="402" t="s">
        <v>34</v>
      </c>
      <c r="P25" s="402" t="s">
        <v>34</v>
      </c>
      <c r="Q25" s="402" t="s">
        <v>34</v>
      </c>
      <c r="R25" s="402" t="s">
        <v>34</v>
      </c>
      <c r="S25" s="402" t="s">
        <v>34</v>
      </c>
      <c r="T25" s="402" t="s">
        <v>34</v>
      </c>
      <c r="U25" s="402" t="s">
        <v>34</v>
      </c>
      <c r="V25" s="402" t="s">
        <v>34</v>
      </c>
      <c r="W25" s="402"/>
    </row>
    <row r="26" spans="1:23">
      <c r="A26" s="213">
        <f>+A27-1</f>
        <v>2004</v>
      </c>
      <c r="B26" s="402">
        <v>1.008</v>
      </c>
      <c r="C26" s="402">
        <v>1.0049999999999999</v>
      </c>
      <c r="D26" s="402" t="s">
        <v>34</v>
      </c>
      <c r="E26" s="402" t="s">
        <v>34</v>
      </c>
      <c r="F26" s="402" t="s">
        <v>34</v>
      </c>
      <c r="G26" s="402" t="s">
        <v>34</v>
      </c>
      <c r="H26" s="402" t="s">
        <v>34</v>
      </c>
      <c r="I26" s="402" t="s">
        <v>34</v>
      </c>
      <c r="J26" s="402" t="s">
        <v>34</v>
      </c>
      <c r="K26" s="402" t="s">
        <v>34</v>
      </c>
      <c r="L26" s="402" t="s">
        <v>34</v>
      </c>
      <c r="M26" s="402" t="s">
        <v>34</v>
      </c>
      <c r="N26" s="402" t="s">
        <v>34</v>
      </c>
      <c r="O26" s="402" t="s">
        <v>34</v>
      </c>
      <c r="P26" s="402" t="s">
        <v>34</v>
      </c>
      <c r="Q26" s="402" t="s">
        <v>34</v>
      </c>
      <c r="R26" s="402" t="s">
        <v>34</v>
      </c>
      <c r="S26" s="402" t="s">
        <v>34</v>
      </c>
      <c r="T26" s="402" t="s">
        <v>34</v>
      </c>
      <c r="U26" s="402" t="s">
        <v>34</v>
      </c>
      <c r="V26" s="402" t="s">
        <v>34</v>
      </c>
      <c r="W26" s="402"/>
    </row>
    <row r="27" spans="1:23">
      <c r="A27" s="213">
        <f>'Exhibit 2.3.2'!A27</f>
        <v>2005</v>
      </c>
      <c r="B27" s="402">
        <v>1.006</v>
      </c>
      <c r="C27" s="402" t="s">
        <v>34</v>
      </c>
      <c r="D27" s="402" t="s">
        <v>34</v>
      </c>
      <c r="E27" s="402" t="s">
        <v>34</v>
      </c>
      <c r="F27" s="402" t="s">
        <v>34</v>
      </c>
      <c r="G27" s="402" t="s">
        <v>34</v>
      </c>
      <c r="H27" s="402" t="s">
        <v>34</v>
      </c>
      <c r="I27" s="402" t="s">
        <v>34</v>
      </c>
      <c r="J27" s="402" t="s">
        <v>34</v>
      </c>
      <c r="K27" s="402" t="s">
        <v>34</v>
      </c>
      <c r="L27" s="402" t="s">
        <v>34</v>
      </c>
      <c r="M27" s="402" t="s">
        <v>34</v>
      </c>
      <c r="N27" s="402" t="s">
        <v>34</v>
      </c>
      <c r="O27" s="402" t="s">
        <v>34</v>
      </c>
      <c r="P27" s="402" t="s">
        <v>34</v>
      </c>
      <c r="Q27" s="402" t="s">
        <v>34</v>
      </c>
      <c r="R27" s="402" t="s">
        <v>34</v>
      </c>
      <c r="S27" s="402" t="s">
        <v>34</v>
      </c>
      <c r="T27" s="402" t="s">
        <v>34</v>
      </c>
      <c r="U27" s="402" t="s">
        <v>34</v>
      </c>
      <c r="V27" s="402" t="s">
        <v>34</v>
      </c>
      <c r="W27" s="402"/>
    </row>
    <row r="28" spans="1:23">
      <c r="A28" s="213"/>
      <c r="B28" s="215"/>
      <c r="C28" s="215"/>
      <c r="D28" s="215"/>
      <c r="E28" s="215"/>
      <c r="F28" s="215"/>
      <c r="G28" s="215"/>
      <c r="H28" s="215"/>
      <c r="I28" s="215"/>
      <c r="J28" s="215"/>
      <c r="K28" s="215"/>
      <c r="L28" s="215"/>
      <c r="M28" s="215"/>
      <c r="N28" s="215"/>
      <c r="O28" s="215"/>
      <c r="P28" s="215"/>
      <c r="Q28" s="343"/>
      <c r="R28" s="343"/>
      <c r="S28" s="343"/>
      <c r="T28" s="343"/>
      <c r="U28" s="389"/>
      <c r="V28" s="343"/>
      <c r="W28" s="343"/>
    </row>
    <row r="29" spans="1:23" ht="14.5">
      <c r="A29" s="213" t="s">
        <v>59</v>
      </c>
      <c r="B29" s="221" t="s">
        <v>18</v>
      </c>
      <c r="C29" s="221"/>
      <c r="D29" s="221"/>
      <c r="E29" s="221"/>
      <c r="F29" s="221"/>
      <c r="G29" s="221"/>
      <c r="H29" s="221"/>
      <c r="I29" s="221"/>
      <c r="J29" s="221"/>
      <c r="K29" s="221"/>
      <c r="L29" s="221"/>
      <c r="M29" s="221"/>
      <c r="N29" s="221"/>
      <c r="O29" s="221"/>
      <c r="P29" s="221"/>
      <c r="Q29" s="221"/>
      <c r="R29" s="221"/>
      <c r="S29" s="221"/>
      <c r="T29" s="221"/>
      <c r="U29" s="221"/>
      <c r="V29" s="221"/>
      <c r="W29" s="354"/>
    </row>
    <row r="30" spans="1:23">
      <c r="A30" s="216" t="s">
        <v>19</v>
      </c>
      <c r="B30" s="216" t="s">
        <v>523</v>
      </c>
      <c r="C30" s="216" t="s">
        <v>524</v>
      </c>
      <c r="D30" s="216" t="s">
        <v>525</v>
      </c>
      <c r="E30" s="216" t="s">
        <v>526</v>
      </c>
      <c r="F30" s="216" t="s">
        <v>527</v>
      </c>
      <c r="G30" s="216" t="s">
        <v>528</v>
      </c>
      <c r="H30" s="216" t="s">
        <v>529</v>
      </c>
      <c r="I30" s="216" t="s">
        <v>530</v>
      </c>
      <c r="J30" s="216" t="s">
        <v>531</v>
      </c>
      <c r="K30" s="216" t="s">
        <v>532</v>
      </c>
      <c r="L30" s="216" t="s">
        <v>533</v>
      </c>
      <c r="M30" s="216" t="s">
        <v>534</v>
      </c>
      <c r="N30" s="216" t="s">
        <v>535</v>
      </c>
      <c r="O30" s="216" t="s">
        <v>536</v>
      </c>
      <c r="P30" s="216" t="s">
        <v>537</v>
      </c>
      <c r="Q30" s="216" t="s">
        <v>538</v>
      </c>
      <c r="R30" s="216" t="s">
        <v>539</v>
      </c>
      <c r="S30" s="216" t="s">
        <v>540</v>
      </c>
      <c r="T30" s="216" t="s">
        <v>541</v>
      </c>
      <c r="U30" s="216" t="s">
        <v>542</v>
      </c>
      <c r="V30" s="216" t="s">
        <v>543</v>
      </c>
      <c r="W30" s="216" t="s">
        <v>547</v>
      </c>
    </row>
    <row r="31" spans="1:23">
      <c r="A31" s="213">
        <f t="shared" ref="A31:A53" si="1">+A5</f>
        <v>1983</v>
      </c>
      <c r="B31" s="402" t="s">
        <v>34</v>
      </c>
      <c r="C31" s="402" t="s">
        <v>34</v>
      </c>
      <c r="D31" s="402" t="s">
        <v>34</v>
      </c>
      <c r="E31" s="402" t="s">
        <v>34</v>
      </c>
      <c r="F31" s="402" t="s">
        <v>34</v>
      </c>
      <c r="G31" s="402" t="s">
        <v>34</v>
      </c>
      <c r="H31" s="402" t="s">
        <v>34</v>
      </c>
      <c r="I31" s="402" t="s">
        <v>34</v>
      </c>
      <c r="J31" s="402" t="s">
        <v>34</v>
      </c>
      <c r="K31" s="402" t="s">
        <v>34</v>
      </c>
      <c r="L31" s="402" t="s">
        <v>34</v>
      </c>
      <c r="M31" s="402" t="s">
        <v>34</v>
      </c>
      <c r="N31" s="402" t="s">
        <v>34</v>
      </c>
      <c r="O31" s="402" t="s">
        <v>34</v>
      </c>
      <c r="P31" s="402">
        <v>1.0029999999999999</v>
      </c>
      <c r="Q31" s="402">
        <v>1.002</v>
      </c>
      <c r="R31" s="402">
        <v>1.004</v>
      </c>
      <c r="S31" s="402">
        <v>1.0029999999999999</v>
      </c>
      <c r="T31" s="402">
        <v>1.0029999999999999</v>
      </c>
      <c r="U31" s="402">
        <v>1.002</v>
      </c>
      <c r="V31" s="402">
        <v>1.002</v>
      </c>
      <c r="W31" s="402"/>
    </row>
    <row r="32" spans="1:23" s="229" customFormat="1">
      <c r="A32" s="213">
        <f t="shared" si="1"/>
        <v>1984</v>
      </c>
      <c r="B32" s="402" t="s">
        <v>34</v>
      </c>
      <c r="C32" s="402" t="s">
        <v>34</v>
      </c>
      <c r="D32" s="402" t="s">
        <v>34</v>
      </c>
      <c r="E32" s="402" t="s">
        <v>34</v>
      </c>
      <c r="F32" s="402" t="s">
        <v>34</v>
      </c>
      <c r="G32" s="402" t="s">
        <v>34</v>
      </c>
      <c r="H32" s="402" t="s">
        <v>34</v>
      </c>
      <c r="I32" s="402" t="s">
        <v>34</v>
      </c>
      <c r="J32" s="402" t="s">
        <v>34</v>
      </c>
      <c r="K32" s="402" t="s">
        <v>34</v>
      </c>
      <c r="L32" s="402" t="s">
        <v>34</v>
      </c>
      <c r="M32" s="402" t="s">
        <v>34</v>
      </c>
      <c r="N32" s="402" t="s">
        <v>34</v>
      </c>
      <c r="O32" s="402">
        <v>1.0029999999999999</v>
      </c>
      <c r="P32" s="402">
        <v>1.002</v>
      </c>
      <c r="Q32" s="402">
        <v>1.002</v>
      </c>
      <c r="R32" s="402">
        <v>1.002</v>
      </c>
      <c r="S32" s="402">
        <v>1.002</v>
      </c>
      <c r="T32" s="402">
        <v>1.002</v>
      </c>
      <c r="U32" s="402">
        <v>1.0009999999999999</v>
      </c>
      <c r="V32" s="402">
        <v>1.0009999999999999</v>
      </c>
      <c r="W32" s="402"/>
    </row>
    <row r="33" spans="1:23" s="229" customFormat="1">
      <c r="A33" s="213">
        <f t="shared" si="1"/>
        <v>1985</v>
      </c>
      <c r="B33" s="402" t="s">
        <v>34</v>
      </c>
      <c r="C33" s="402" t="s">
        <v>34</v>
      </c>
      <c r="D33" s="402" t="s">
        <v>34</v>
      </c>
      <c r="E33" s="402" t="s">
        <v>34</v>
      </c>
      <c r="F33" s="402" t="s">
        <v>34</v>
      </c>
      <c r="G33" s="402" t="s">
        <v>34</v>
      </c>
      <c r="H33" s="402" t="s">
        <v>34</v>
      </c>
      <c r="I33" s="402" t="s">
        <v>34</v>
      </c>
      <c r="J33" s="402" t="s">
        <v>34</v>
      </c>
      <c r="K33" s="402" t="s">
        <v>34</v>
      </c>
      <c r="L33" s="402" t="s">
        <v>34</v>
      </c>
      <c r="M33" s="402" t="s">
        <v>34</v>
      </c>
      <c r="N33" s="402">
        <v>1.0029999999999999</v>
      </c>
      <c r="O33" s="402">
        <v>1.002</v>
      </c>
      <c r="P33" s="402">
        <v>1.0029999999999999</v>
      </c>
      <c r="Q33" s="402">
        <v>1.002</v>
      </c>
      <c r="R33" s="402">
        <v>1.002</v>
      </c>
      <c r="S33" s="402">
        <v>1.002</v>
      </c>
      <c r="T33" s="402">
        <v>1.002</v>
      </c>
      <c r="U33" s="402">
        <v>1.0009999999999999</v>
      </c>
      <c r="V33" s="402">
        <v>1.002</v>
      </c>
      <c r="W33" s="402"/>
    </row>
    <row r="34" spans="1:23" s="214" customFormat="1">
      <c r="A34" s="213">
        <f t="shared" si="1"/>
        <v>1986</v>
      </c>
      <c r="B34" s="402" t="s">
        <v>34</v>
      </c>
      <c r="C34" s="402" t="s">
        <v>34</v>
      </c>
      <c r="D34" s="402" t="s">
        <v>34</v>
      </c>
      <c r="E34" s="402" t="s">
        <v>34</v>
      </c>
      <c r="F34" s="402" t="s">
        <v>34</v>
      </c>
      <c r="G34" s="402" t="s">
        <v>34</v>
      </c>
      <c r="H34" s="402" t="s">
        <v>34</v>
      </c>
      <c r="I34" s="402" t="s">
        <v>34</v>
      </c>
      <c r="J34" s="402" t="s">
        <v>34</v>
      </c>
      <c r="K34" s="402" t="s">
        <v>34</v>
      </c>
      <c r="L34" s="402" t="s">
        <v>34</v>
      </c>
      <c r="M34" s="402">
        <v>1.0049999999999999</v>
      </c>
      <c r="N34" s="402">
        <v>1.004</v>
      </c>
      <c r="O34" s="402">
        <v>1.006</v>
      </c>
      <c r="P34" s="402">
        <v>1.0049999999999999</v>
      </c>
      <c r="Q34" s="402">
        <v>1.004</v>
      </c>
      <c r="R34" s="402">
        <v>1.0029999999999999</v>
      </c>
      <c r="S34" s="402">
        <v>1.004</v>
      </c>
      <c r="T34" s="402">
        <v>1.0009999999999999</v>
      </c>
      <c r="U34" s="402">
        <v>1.002</v>
      </c>
      <c r="V34" s="402" t="s">
        <v>34</v>
      </c>
      <c r="W34" s="402"/>
    </row>
    <row r="35" spans="1:23" s="172" customFormat="1">
      <c r="A35" s="213">
        <f t="shared" si="1"/>
        <v>1987</v>
      </c>
      <c r="B35" s="402" t="s">
        <v>34</v>
      </c>
      <c r="C35" s="402" t="s">
        <v>34</v>
      </c>
      <c r="D35" s="402" t="s">
        <v>34</v>
      </c>
      <c r="E35" s="402" t="s">
        <v>34</v>
      </c>
      <c r="F35" s="402" t="s">
        <v>34</v>
      </c>
      <c r="G35" s="402" t="s">
        <v>34</v>
      </c>
      <c r="H35" s="402" t="s">
        <v>34</v>
      </c>
      <c r="I35" s="402" t="s">
        <v>34</v>
      </c>
      <c r="J35" s="402" t="s">
        <v>34</v>
      </c>
      <c r="K35" s="402" t="s">
        <v>34</v>
      </c>
      <c r="L35" s="402">
        <v>1.004</v>
      </c>
      <c r="M35" s="402">
        <v>1.0029999999999999</v>
      </c>
      <c r="N35" s="402">
        <v>1.0029999999999999</v>
      </c>
      <c r="O35" s="402">
        <v>1.0029999999999999</v>
      </c>
      <c r="P35" s="402">
        <v>1.004</v>
      </c>
      <c r="Q35" s="402">
        <v>1.002</v>
      </c>
      <c r="R35" s="402">
        <v>1.0029999999999999</v>
      </c>
      <c r="S35" s="402">
        <v>1.0029999999999999</v>
      </c>
      <c r="T35" s="402">
        <v>1.0029999999999999</v>
      </c>
      <c r="U35" s="402" t="s">
        <v>34</v>
      </c>
      <c r="V35" s="402" t="s">
        <v>34</v>
      </c>
      <c r="W35" s="402"/>
    </row>
    <row r="36" spans="1:23">
      <c r="A36" s="213">
        <f t="shared" si="1"/>
        <v>1988</v>
      </c>
      <c r="B36" s="402" t="s">
        <v>34</v>
      </c>
      <c r="C36" s="402" t="s">
        <v>34</v>
      </c>
      <c r="D36" s="402" t="s">
        <v>34</v>
      </c>
      <c r="E36" s="402" t="s">
        <v>34</v>
      </c>
      <c r="F36" s="402" t="s">
        <v>34</v>
      </c>
      <c r="G36" s="402" t="s">
        <v>34</v>
      </c>
      <c r="H36" s="402" t="s">
        <v>34</v>
      </c>
      <c r="I36" s="402" t="s">
        <v>34</v>
      </c>
      <c r="J36" s="402" t="s">
        <v>34</v>
      </c>
      <c r="K36" s="402">
        <v>1.004</v>
      </c>
      <c r="L36" s="402">
        <v>1.0029999999999999</v>
      </c>
      <c r="M36" s="402">
        <v>1.0029999999999999</v>
      </c>
      <c r="N36" s="402">
        <v>1.0029999999999999</v>
      </c>
      <c r="O36" s="402">
        <v>1.004</v>
      </c>
      <c r="P36" s="402">
        <v>1.0029999999999999</v>
      </c>
      <c r="Q36" s="402">
        <v>1.002</v>
      </c>
      <c r="R36" s="402">
        <v>1.0029999999999999</v>
      </c>
      <c r="S36" s="402">
        <v>1.0029999999999999</v>
      </c>
      <c r="T36" s="402" t="s">
        <v>34</v>
      </c>
      <c r="U36" s="402" t="s">
        <v>34</v>
      </c>
      <c r="V36" s="402" t="s">
        <v>34</v>
      </c>
      <c r="W36" s="402"/>
    </row>
    <row r="37" spans="1:23">
      <c r="A37" s="213">
        <f t="shared" si="1"/>
        <v>1989</v>
      </c>
      <c r="B37" s="402" t="s">
        <v>34</v>
      </c>
      <c r="C37" s="402" t="s">
        <v>34</v>
      </c>
      <c r="D37" s="402" t="s">
        <v>34</v>
      </c>
      <c r="E37" s="402" t="s">
        <v>34</v>
      </c>
      <c r="F37" s="402" t="s">
        <v>34</v>
      </c>
      <c r="G37" s="402" t="s">
        <v>34</v>
      </c>
      <c r="H37" s="402" t="s">
        <v>34</v>
      </c>
      <c r="I37" s="402" t="s">
        <v>34</v>
      </c>
      <c r="J37" s="402">
        <v>1.0049999999999999</v>
      </c>
      <c r="K37" s="402">
        <v>1.0029999999999999</v>
      </c>
      <c r="L37" s="402">
        <v>1.0029999999999999</v>
      </c>
      <c r="M37" s="402">
        <v>1.0029999999999999</v>
      </c>
      <c r="N37" s="402">
        <v>1.004</v>
      </c>
      <c r="O37" s="402">
        <v>1.0029999999999999</v>
      </c>
      <c r="P37" s="402">
        <v>1.0049999999999999</v>
      </c>
      <c r="Q37" s="402">
        <v>1.002</v>
      </c>
      <c r="R37" s="402">
        <v>1.002</v>
      </c>
      <c r="S37" s="402" t="s">
        <v>34</v>
      </c>
      <c r="T37" s="402" t="s">
        <v>34</v>
      </c>
      <c r="U37" s="402" t="s">
        <v>34</v>
      </c>
      <c r="V37" s="402" t="s">
        <v>34</v>
      </c>
      <c r="W37" s="402"/>
    </row>
    <row r="38" spans="1:23">
      <c r="A38" s="213">
        <f t="shared" si="1"/>
        <v>1990</v>
      </c>
      <c r="B38" s="402" t="s">
        <v>34</v>
      </c>
      <c r="C38" s="402" t="s">
        <v>34</v>
      </c>
      <c r="D38" s="402" t="s">
        <v>34</v>
      </c>
      <c r="E38" s="402" t="s">
        <v>34</v>
      </c>
      <c r="F38" s="402" t="s">
        <v>34</v>
      </c>
      <c r="G38" s="402" t="s">
        <v>34</v>
      </c>
      <c r="H38" s="402" t="s">
        <v>34</v>
      </c>
      <c r="I38" s="402">
        <v>1.004</v>
      </c>
      <c r="J38" s="402">
        <v>1.0029999999999999</v>
      </c>
      <c r="K38" s="402">
        <v>1.002</v>
      </c>
      <c r="L38" s="402">
        <v>1.0029999999999999</v>
      </c>
      <c r="M38" s="402">
        <v>1.002</v>
      </c>
      <c r="N38" s="402">
        <v>1.0029999999999999</v>
      </c>
      <c r="O38" s="402">
        <v>1.002</v>
      </c>
      <c r="P38" s="402">
        <v>1.0029999999999999</v>
      </c>
      <c r="Q38" s="402">
        <v>1.0009999999999999</v>
      </c>
      <c r="R38" s="402" t="s">
        <v>34</v>
      </c>
      <c r="S38" s="402" t="s">
        <v>34</v>
      </c>
      <c r="T38" s="402" t="s">
        <v>34</v>
      </c>
      <c r="U38" s="402" t="s">
        <v>34</v>
      </c>
      <c r="V38" s="402" t="s">
        <v>34</v>
      </c>
      <c r="W38" s="402"/>
    </row>
    <row r="39" spans="1:23">
      <c r="A39" s="213">
        <f t="shared" si="1"/>
        <v>1991</v>
      </c>
      <c r="B39" s="402" t="s">
        <v>34</v>
      </c>
      <c r="C39" s="402" t="s">
        <v>34</v>
      </c>
      <c r="D39" s="402" t="s">
        <v>34</v>
      </c>
      <c r="E39" s="402" t="s">
        <v>34</v>
      </c>
      <c r="F39" s="402" t="s">
        <v>34</v>
      </c>
      <c r="G39" s="402" t="s">
        <v>34</v>
      </c>
      <c r="H39" s="402">
        <v>1.006</v>
      </c>
      <c r="I39" s="402">
        <v>1.0029999999999999</v>
      </c>
      <c r="J39" s="402">
        <v>1.0029999999999999</v>
      </c>
      <c r="K39" s="402">
        <v>1.0029999999999999</v>
      </c>
      <c r="L39" s="402">
        <v>1.004</v>
      </c>
      <c r="M39" s="402">
        <v>1.004</v>
      </c>
      <c r="N39" s="402">
        <v>1.0029999999999999</v>
      </c>
      <c r="O39" s="402">
        <v>1.002</v>
      </c>
      <c r="P39" s="402">
        <v>1.0029999999999999</v>
      </c>
      <c r="Q39" s="402" t="s">
        <v>34</v>
      </c>
      <c r="R39" s="402" t="s">
        <v>34</v>
      </c>
      <c r="S39" s="402" t="s">
        <v>34</v>
      </c>
      <c r="T39" s="402" t="s">
        <v>34</v>
      </c>
      <c r="U39" s="402" t="s">
        <v>34</v>
      </c>
      <c r="V39" s="402" t="s">
        <v>34</v>
      </c>
      <c r="W39" s="402"/>
    </row>
    <row r="40" spans="1:23">
      <c r="A40" s="213">
        <f t="shared" si="1"/>
        <v>1992</v>
      </c>
      <c r="B40" s="402" t="s">
        <v>34</v>
      </c>
      <c r="C40" s="402" t="s">
        <v>34</v>
      </c>
      <c r="D40" s="402" t="s">
        <v>34</v>
      </c>
      <c r="E40" s="402" t="s">
        <v>34</v>
      </c>
      <c r="F40" s="402" t="s">
        <v>34</v>
      </c>
      <c r="G40" s="402">
        <v>1.006</v>
      </c>
      <c r="H40" s="402">
        <v>1.0049999999999999</v>
      </c>
      <c r="I40" s="402">
        <v>1.0049999999999999</v>
      </c>
      <c r="J40" s="402">
        <v>1.006</v>
      </c>
      <c r="K40" s="402">
        <v>1.004</v>
      </c>
      <c r="L40" s="402">
        <v>1.006</v>
      </c>
      <c r="M40" s="402">
        <v>1.0029999999999999</v>
      </c>
      <c r="N40" s="402">
        <v>1.0029999999999999</v>
      </c>
      <c r="O40" s="402">
        <v>1.002</v>
      </c>
      <c r="P40" s="402" t="s">
        <v>34</v>
      </c>
      <c r="Q40" s="402" t="s">
        <v>34</v>
      </c>
      <c r="R40" s="402" t="s">
        <v>34</v>
      </c>
      <c r="S40" s="402" t="s">
        <v>34</v>
      </c>
      <c r="T40" s="402" t="s">
        <v>34</v>
      </c>
      <c r="U40" s="402" t="s">
        <v>34</v>
      </c>
      <c r="V40" s="402" t="s">
        <v>34</v>
      </c>
      <c r="W40" s="402"/>
    </row>
    <row r="41" spans="1:23">
      <c r="A41" s="213">
        <f t="shared" si="1"/>
        <v>1993</v>
      </c>
      <c r="B41" s="402" t="s">
        <v>34</v>
      </c>
      <c r="C41" s="402" t="s">
        <v>34</v>
      </c>
      <c r="D41" s="402" t="s">
        <v>34</v>
      </c>
      <c r="E41" s="402" t="s">
        <v>34</v>
      </c>
      <c r="F41" s="402">
        <v>1.01</v>
      </c>
      <c r="G41" s="402">
        <v>1.0069999999999999</v>
      </c>
      <c r="H41" s="402">
        <v>1.0069999999999999</v>
      </c>
      <c r="I41" s="402">
        <v>1.0069999999999999</v>
      </c>
      <c r="J41" s="402">
        <v>1.0049999999999999</v>
      </c>
      <c r="K41" s="402">
        <v>1.0089999999999999</v>
      </c>
      <c r="L41" s="402">
        <v>1.004</v>
      </c>
      <c r="M41" s="402">
        <v>1.0029999999999999</v>
      </c>
      <c r="N41" s="402">
        <v>1.002</v>
      </c>
      <c r="O41" s="402" t="s">
        <v>34</v>
      </c>
      <c r="P41" s="402" t="s">
        <v>34</v>
      </c>
      <c r="Q41" s="402" t="s">
        <v>34</v>
      </c>
      <c r="R41" s="402" t="s">
        <v>34</v>
      </c>
      <c r="S41" s="402" t="s">
        <v>34</v>
      </c>
      <c r="T41" s="402" t="s">
        <v>34</v>
      </c>
      <c r="U41" s="402" t="s">
        <v>34</v>
      </c>
      <c r="V41" s="402" t="s">
        <v>34</v>
      </c>
      <c r="W41" s="402"/>
    </row>
    <row r="42" spans="1:23">
      <c r="A42" s="213">
        <f t="shared" si="1"/>
        <v>1994</v>
      </c>
      <c r="B42" s="402" t="s">
        <v>34</v>
      </c>
      <c r="C42" s="402" t="s">
        <v>34</v>
      </c>
      <c r="D42" s="402" t="s">
        <v>34</v>
      </c>
      <c r="E42" s="402">
        <v>1.01</v>
      </c>
      <c r="F42" s="402">
        <v>1.0089999999999999</v>
      </c>
      <c r="G42" s="402">
        <v>1.0089999999999999</v>
      </c>
      <c r="H42" s="402">
        <v>1.008</v>
      </c>
      <c r="I42" s="402">
        <v>1.0049999999999999</v>
      </c>
      <c r="J42" s="402">
        <v>1.0049999999999999</v>
      </c>
      <c r="K42" s="402">
        <v>1.0049999999999999</v>
      </c>
      <c r="L42" s="402">
        <v>1.004</v>
      </c>
      <c r="M42" s="402">
        <v>1.0049999999999999</v>
      </c>
      <c r="N42" s="402" t="s">
        <v>34</v>
      </c>
      <c r="O42" s="402" t="s">
        <v>34</v>
      </c>
      <c r="P42" s="402" t="s">
        <v>34</v>
      </c>
      <c r="Q42" s="402" t="s">
        <v>34</v>
      </c>
      <c r="R42" s="402" t="s">
        <v>34</v>
      </c>
      <c r="S42" s="402" t="s">
        <v>34</v>
      </c>
      <c r="T42" s="402" t="s">
        <v>34</v>
      </c>
      <c r="U42" s="402" t="s">
        <v>34</v>
      </c>
      <c r="V42" s="402" t="s">
        <v>34</v>
      </c>
      <c r="W42" s="402"/>
    </row>
    <row r="43" spans="1:23">
      <c r="A43" s="213">
        <f t="shared" si="1"/>
        <v>1995</v>
      </c>
      <c r="B43" s="402" t="s">
        <v>34</v>
      </c>
      <c r="C43" s="402" t="s">
        <v>34</v>
      </c>
      <c r="D43" s="402">
        <v>1.012</v>
      </c>
      <c r="E43" s="402">
        <v>1.012</v>
      </c>
      <c r="F43" s="402">
        <v>1.0089999999999999</v>
      </c>
      <c r="G43" s="402">
        <v>1.014</v>
      </c>
      <c r="H43" s="402">
        <v>1.008</v>
      </c>
      <c r="I43" s="402">
        <v>1.01</v>
      </c>
      <c r="J43" s="402">
        <v>1.0069999999999999</v>
      </c>
      <c r="K43" s="402">
        <v>1.006</v>
      </c>
      <c r="L43" s="402">
        <v>1.004</v>
      </c>
      <c r="M43" s="402" t="s">
        <v>34</v>
      </c>
      <c r="N43" s="402" t="s">
        <v>34</v>
      </c>
      <c r="O43" s="402" t="s">
        <v>34</v>
      </c>
      <c r="P43" s="402" t="s">
        <v>34</v>
      </c>
      <c r="Q43" s="402" t="s">
        <v>34</v>
      </c>
      <c r="R43" s="402" t="s">
        <v>34</v>
      </c>
      <c r="S43" s="402" t="s">
        <v>34</v>
      </c>
      <c r="T43" s="402" t="s">
        <v>34</v>
      </c>
      <c r="U43" s="402" t="s">
        <v>34</v>
      </c>
      <c r="V43" s="402" t="s">
        <v>34</v>
      </c>
      <c r="W43" s="402"/>
    </row>
    <row r="44" spans="1:23">
      <c r="A44" s="213">
        <f t="shared" si="1"/>
        <v>1996</v>
      </c>
      <c r="B44" s="402" t="s">
        <v>34</v>
      </c>
      <c r="C44" s="402">
        <v>1.012</v>
      </c>
      <c r="D44" s="402">
        <v>1.0109999999999999</v>
      </c>
      <c r="E44" s="402">
        <v>1.0089999999999999</v>
      </c>
      <c r="F44" s="402">
        <v>1.008</v>
      </c>
      <c r="G44" s="402">
        <v>1.01</v>
      </c>
      <c r="H44" s="402">
        <v>1.0089999999999999</v>
      </c>
      <c r="I44" s="402">
        <v>1.0069999999999999</v>
      </c>
      <c r="J44" s="402">
        <v>1.0049999999999999</v>
      </c>
      <c r="K44" s="402">
        <v>1.006</v>
      </c>
      <c r="L44" s="402" t="s">
        <v>34</v>
      </c>
      <c r="M44" s="402" t="s">
        <v>34</v>
      </c>
      <c r="N44" s="402" t="s">
        <v>34</v>
      </c>
      <c r="O44" s="402" t="s">
        <v>34</v>
      </c>
      <c r="P44" s="402" t="s">
        <v>34</v>
      </c>
      <c r="Q44" s="402" t="s">
        <v>34</v>
      </c>
      <c r="R44" s="402" t="s">
        <v>34</v>
      </c>
      <c r="S44" s="402" t="s">
        <v>34</v>
      </c>
      <c r="T44" s="402" t="s">
        <v>34</v>
      </c>
      <c r="U44" s="402" t="s">
        <v>34</v>
      </c>
      <c r="V44" s="402" t="s">
        <v>34</v>
      </c>
      <c r="W44" s="402"/>
    </row>
    <row r="45" spans="1:23">
      <c r="A45" s="213">
        <f t="shared" si="1"/>
        <v>1997</v>
      </c>
      <c r="B45" s="402">
        <v>1.0129999999999999</v>
      </c>
      <c r="C45" s="402">
        <v>1.0109999999999999</v>
      </c>
      <c r="D45" s="402">
        <v>1.0069999999999999</v>
      </c>
      <c r="E45" s="402">
        <v>1.0069999999999999</v>
      </c>
      <c r="F45" s="402">
        <v>1.008</v>
      </c>
      <c r="G45" s="402">
        <v>1.008</v>
      </c>
      <c r="H45" s="402">
        <v>1.006</v>
      </c>
      <c r="I45" s="402">
        <v>1.0049999999999999</v>
      </c>
      <c r="J45" s="402">
        <v>1.004</v>
      </c>
      <c r="K45" s="402" t="s">
        <v>34</v>
      </c>
      <c r="L45" s="402" t="s">
        <v>34</v>
      </c>
      <c r="M45" s="402" t="s">
        <v>34</v>
      </c>
      <c r="N45" s="402" t="s">
        <v>34</v>
      </c>
      <c r="O45" s="402" t="s">
        <v>34</v>
      </c>
      <c r="P45" s="402" t="s">
        <v>34</v>
      </c>
      <c r="Q45" s="402" t="s">
        <v>34</v>
      </c>
      <c r="R45" s="402" t="s">
        <v>34</v>
      </c>
      <c r="S45" s="402" t="s">
        <v>34</v>
      </c>
      <c r="T45" s="402" t="s">
        <v>34</v>
      </c>
      <c r="U45" s="402" t="s">
        <v>34</v>
      </c>
      <c r="V45" s="402" t="s">
        <v>34</v>
      </c>
      <c r="W45" s="402"/>
    </row>
    <row r="46" spans="1:23">
      <c r="A46" s="213">
        <f t="shared" si="1"/>
        <v>1998</v>
      </c>
      <c r="B46" s="402">
        <v>1.0129999999999999</v>
      </c>
      <c r="C46" s="402">
        <v>1.01</v>
      </c>
      <c r="D46" s="402">
        <v>1.0089999999999999</v>
      </c>
      <c r="E46" s="402">
        <v>1.0089999999999999</v>
      </c>
      <c r="F46" s="402">
        <v>1.01</v>
      </c>
      <c r="G46" s="402">
        <v>1.008</v>
      </c>
      <c r="H46" s="402">
        <v>1.006</v>
      </c>
      <c r="I46" s="402">
        <v>1.006</v>
      </c>
      <c r="J46" s="402" t="s">
        <v>34</v>
      </c>
      <c r="K46" s="402" t="s">
        <v>34</v>
      </c>
      <c r="L46" s="402" t="s">
        <v>34</v>
      </c>
      <c r="M46" s="402" t="s">
        <v>34</v>
      </c>
      <c r="N46" s="402" t="s">
        <v>34</v>
      </c>
      <c r="O46" s="402" t="s">
        <v>34</v>
      </c>
      <c r="P46" s="402" t="s">
        <v>34</v>
      </c>
      <c r="Q46" s="402" t="s">
        <v>34</v>
      </c>
      <c r="R46" s="402" t="s">
        <v>34</v>
      </c>
      <c r="S46" s="402" t="s">
        <v>34</v>
      </c>
      <c r="T46" s="402" t="s">
        <v>34</v>
      </c>
      <c r="U46" s="402" t="s">
        <v>34</v>
      </c>
      <c r="V46" s="402" t="s">
        <v>34</v>
      </c>
      <c r="W46" s="402"/>
    </row>
    <row r="47" spans="1:23">
      <c r="A47" s="213">
        <f t="shared" si="1"/>
        <v>1999</v>
      </c>
      <c r="B47" s="402">
        <v>1.0129999999999999</v>
      </c>
      <c r="C47" s="402">
        <v>1.01</v>
      </c>
      <c r="D47" s="402">
        <v>1.01</v>
      </c>
      <c r="E47" s="402">
        <v>1.0089999999999999</v>
      </c>
      <c r="F47" s="402">
        <v>1.006</v>
      </c>
      <c r="G47" s="402">
        <v>1.006</v>
      </c>
      <c r="H47" s="402">
        <v>1.004</v>
      </c>
      <c r="I47" s="402" t="s">
        <v>34</v>
      </c>
      <c r="J47" s="402" t="s">
        <v>34</v>
      </c>
      <c r="K47" s="402" t="s">
        <v>34</v>
      </c>
      <c r="L47" s="402" t="s">
        <v>34</v>
      </c>
      <c r="M47" s="402" t="s">
        <v>34</v>
      </c>
      <c r="N47" s="402" t="s">
        <v>34</v>
      </c>
      <c r="O47" s="402" t="s">
        <v>34</v>
      </c>
      <c r="P47" s="402" t="s">
        <v>34</v>
      </c>
      <c r="Q47" s="402" t="s">
        <v>34</v>
      </c>
      <c r="R47" s="402" t="s">
        <v>34</v>
      </c>
      <c r="S47" s="402" t="s">
        <v>34</v>
      </c>
      <c r="T47" s="402" t="s">
        <v>34</v>
      </c>
      <c r="U47" s="402" t="s">
        <v>34</v>
      </c>
      <c r="V47" s="402" t="s">
        <v>34</v>
      </c>
      <c r="W47" s="402"/>
    </row>
    <row r="48" spans="1:23">
      <c r="A48" s="213">
        <f t="shared" si="1"/>
        <v>2000</v>
      </c>
      <c r="B48" s="402">
        <v>1.01</v>
      </c>
      <c r="C48" s="402">
        <v>1.0089999999999999</v>
      </c>
      <c r="D48" s="402">
        <v>1.0069999999999999</v>
      </c>
      <c r="E48" s="402">
        <v>1.006</v>
      </c>
      <c r="F48" s="402">
        <v>1.006</v>
      </c>
      <c r="G48" s="402">
        <v>1.004</v>
      </c>
      <c r="H48" s="402" t="s">
        <v>34</v>
      </c>
      <c r="I48" s="402" t="s">
        <v>34</v>
      </c>
      <c r="J48" s="402" t="s">
        <v>34</v>
      </c>
      <c r="K48" s="402" t="s">
        <v>34</v>
      </c>
      <c r="L48" s="402" t="s">
        <v>34</v>
      </c>
      <c r="M48" s="402" t="s">
        <v>34</v>
      </c>
      <c r="N48" s="402" t="s">
        <v>34</v>
      </c>
      <c r="O48" s="402" t="s">
        <v>34</v>
      </c>
      <c r="P48" s="402" t="s">
        <v>34</v>
      </c>
      <c r="Q48" s="402" t="s">
        <v>34</v>
      </c>
      <c r="R48" s="402" t="s">
        <v>34</v>
      </c>
      <c r="S48" s="402" t="s">
        <v>34</v>
      </c>
      <c r="T48" s="402" t="s">
        <v>34</v>
      </c>
      <c r="U48" s="402" t="s">
        <v>34</v>
      </c>
      <c r="V48" s="402" t="s">
        <v>34</v>
      </c>
      <c r="W48" s="402"/>
    </row>
    <row r="49" spans="1:23">
      <c r="A49" s="213">
        <f t="shared" si="1"/>
        <v>2001</v>
      </c>
      <c r="B49" s="402">
        <v>1.0109999999999999</v>
      </c>
      <c r="C49" s="402">
        <v>1.0109999999999999</v>
      </c>
      <c r="D49" s="402">
        <v>1.01</v>
      </c>
      <c r="E49" s="402">
        <v>1.006</v>
      </c>
      <c r="F49" s="402">
        <v>1.004</v>
      </c>
      <c r="G49" s="402" t="s">
        <v>34</v>
      </c>
      <c r="H49" s="402" t="s">
        <v>34</v>
      </c>
      <c r="I49" s="402" t="s">
        <v>34</v>
      </c>
      <c r="J49" s="402" t="s">
        <v>34</v>
      </c>
      <c r="K49" s="402" t="s">
        <v>34</v>
      </c>
      <c r="L49" s="402" t="s">
        <v>34</v>
      </c>
      <c r="M49" s="402" t="s">
        <v>34</v>
      </c>
      <c r="N49" s="402" t="s">
        <v>34</v>
      </c>
      <c r="O49" s="402" t="s">
        <v>34</v>
      </c>
      <c r="P49" s="402" t="s">
        <v>34</v>
      </c>
      <c r="Q49" s="402" t="s">
        <v>34</v>
      </c>
      <c r="R49" s="402" t="s">
        <v>34</v>
      </c>
      <c r="S49" s="402" t="s">
        <v>34</v>
      </c>
      <c r="T49" s="402" t="s">
        <v>34</v>
      </c>
      <c r="U49" s="402" t="s">
        <v>34</v>
      </c>
      <c r="V49" s="402" t="s">
        <v>34</v>
      </c>
      <c r="W49" s="402"/>
    </row>
    <row r="50" spans="1:23">
      <c r="A50" s="213">
        <f t="shared" si="1"/>
        <v>2002</v>
      </c>
      <c r="B50" s="402">
        <v>1.01</v>
      </c>
      <c r="C50" s="402">
        <v>1.0089999999999999</v>
      </c>
      <c r="D50" s="402">
        <v>1.0069999999999999</v>
      </c>
      <c r="E50" s="402">
        <v>1.0049999999999999</v>
      </c>
      <c r="F50" s="402" t="s">
        <v>34</v>
      </c>
      <c r="G50" s="402" t="s">
        <v>34</v>
      </c>
      <c r="H50" s="402" t="s">
        <v>34</v>
      </c>
      <c r="I50" s="402" t="s">
        <v>34</v>
      </c>
      <c r="J50" s="402" t="s">
        <v>34</v>
      </c>
      <c r="K50" s="402" t="s">
        <v>34</v>
      </c>
      <c r="L50" s="402" t="s">
        <v>34</v>
      </c>
      <c r="M50" s="402" t="s">
        <v>34</v>
      </c>
      <c r="N50" s="402" t="s">
        <v>34</v>
      </c>
      <c r="O50" s="402" t="s">
        <v>34</v>
      </c>
      <c r="P50" s="402" t="s">
        <v>34</v>
      </c>
      <c r="Q50" s="402" t="s">
        <v>34</v>
      </c>
      <c r="R50" s="402" t="s">
        <v>34</v>
      </c>
      <c r="S50" s="402" t="s">
        <v>34</v>
      </c>
      <c r="T50" s="402" t="s">
        <v>34</v>
      </c>
      <c r="U50" s="402" t="s">
        <v>34</v>
      </c>
      <c r="V50" s="402" t="s">
        <v>34</v>
      </c>
      <c r="W50" s="402"/>
    </row>
    <row r="51" spans="1:23">
      <c r="A51" s="213">
        <f t="shared" si="1"/>
        <v>2003</v>
      </c>
      <c r="B51" s="402">
        <v>1.012</v>
      </c>
      <c r="C51" s="402">
        <v>1.0089999999999999</v>
      </c>
      <c r="D51" s="402">
        <v>1.0049999999999999</v>
      </c>
      <c r="E51" s="402" t="s">
        <v>34</v>
      </c>
      <c r="F51" s="402" t="s">
        <v>34</v>
      </c>
      <c r="G51" s="402" t="s">
        <v>34</v>
      </c>
      <c r="H51" s="402" t="s">
        <v>34</v>
      </c>
      <c r="I51" s="402" t="s">
        <v>34</v>
      </c>
      <c r="J51" s="402" t="s">
        <v>34</v>
      </c>
      <c r="K51" s="402" t="s">
        <v>34</v>
      </c>
      <c r="L51" s="402" t="s">
        <v>34</v>
      </c>
      <c r="M51" s="402" t="s">
        <v>34</v>
      </c>
      <c r="N51" s="402" t="s">
        <v>34</v>
      </c>
      <c r="O51" s="402" t="s">
        <v>34</v>
      </c>
      <c r="P51" s="402" t="s">
        <v>34</v>
      </c>
      <c r="Q51" s="402" t="s">
        <v>34</v>
      </c>
      <c r="R51" s="402" t="s">
        <v>34</v>
      </c>
      <c r="S51" s="402" t="s">
        <v>34</v>
      </c>
      <c r="T51" s="402" t="s">
        <v>34</v>
      </c>
      <c r="U51" s="402" t="s">
        <v>34</v>
      </c>
      <c r="V51" s="402" t="s">
        <v>34</v>
      </c>
      <c r="W51" s="402"/>
    </row>
    <row r="52" spans="1:23">
      <c r="A52" s="213">
        <f t="shared" si="1"/>
        <v>2004</v>
      </c>
      <c r="B52" s="402">
        <v>1.008</v>
      </c>
      <c r="C52" s="402">
        <v>1.006</v>
      </c>
      <c r="D52" s="402" t="s">
        <v>34</v>
      </c>
      <c r="E52" s="402" t="s">
        <v>34</v>
      </c>
      <c r="F52" s="402" t="s">
        <v>34</v>
      </c>
      <c r="G52" s="402" t="s">
        <v>34</v>
      </c>
      <c r="H52" s="402" t="s">
        <v>34</v>
      </c>
      <c r="I52" s="402" t="s">
        <v>34</v>
      </c>
      <c r="J52" s="402" t="s">
        <v>34</v>
      </c>
      <c r="K52" s="402" t="s">
        <v>34</v>
      </c>
      <c r="L52" s="402" t="s">
        <v>34</v>
      </c>
      <c r="M52" s="402" t="s">
        <v>34</v>
      </c>
      <c r="N52" s="402" t="s">
        <v>34</v>
      </c>
      <c r="O52" s="402" t="s">
        <v>34</v>
      </c>
      <c r="P52" s="402" t="s">
        <v>34</v>
      </c>
      <c r="Q52" s="402" t="s">
        <v>34</v>
      </c>
      <c r="R52" s="402" t="s">
        <v>34</v>
      </c>
      <c r="S52" s="402" t="s">
        <v>34</v>
      </c>
      <c r="T52" s="402" t="s">
        <v>34</v>
      </c>
      <c r="U52" s="402" t="s">
        <v>34</v>
      </c>
      <c r="V52" s="402" t="s">
        <v>34</v>
      </c>
      <c r="W52" s="402"/>
    </row>
    <row r="53" spans="1:23">
      <c r="A53" s="213">
        <f t="shared" si="1"/>
        <v>2005</v>
      </c>
      <c r="B53" s="402">
        <v>1.0069999999999999</v>
      </c>
      <c r="C53" s="402" t="s">
        <v>34</v>
      </c>
      <c r="D53" s="402" t="s">
        <v>34</v>
      </c>
      <c r="E53" s="402" t="s">
        <v>34</v>
      </c>
      <c r="F53" s="402" t="s">
        <v>34</v>
      </c>
      <c r="G53" s="402" t="s">
        <v>34</v>
      </c>
      <c r="H53" s="402" t="s">
        <v>34</v>
      </c>
      <c r="I53" s="402" t="s">
        <v>34</v>
      </c>
      <c r="J53" s="402" t="s">
        <v>34</v>
      </c>
      <c r="K53" s="402" t="s">
        <v>34</v>
      </c>
      <c r="L53" s="402" t="s">
        <v>34</v>
      </c>
      <c r="M53" s="402" t="s">
        <v>34</v>
      </c>
      <c r="N53" s="402" t="s">
        <v>34</v>
      </c>
      <c r="O53" s="402" t="s">
        <v>34</v>
      </c>
      <c r="P53" s="402" t="s">
        <v>34</v>
      </c>
      <c r="Q53" s="402" t="s">
        <v>34</v>
      </c>
      <c r="R53" s="402" t="s">
        <v>34</v>
      </c>
      <c r="S53" s="402" t="s">
        <v>34</v>
      </c>
      <c r="T53" s="402" t="s">
        <v>34</v>
      </c>
      <c r="U53" s="402" t="s">
        <v>34</v>
      </c>
      <c r="V53" s="402" t="s">
        <v>34</v>
      </c>
      <c r="W53" s="402"/>
    </row>
    <row r="54" spans="1:23">
      <c r="A54" s="217"/>
      <c r="B54" s="215"/>
      <c r="C54" s="215"/>
      <c r="D54" s="215"/>
      <c r="E54" s="215"/>
      <c r="F54" s="215"/>
      <c r="G54" s="215"/>
      <c r="H54" s="215"/>
      <c r="I54" s="215"/>
      <c r="J54" s="215"/>
      <c r="K54" s="215"/>
      <c r="L54" s="215"/>
      <c r="M54" s="215"/>
      <c r="N54" s="215"/>
      <c r="O54" s="215"/>
      <c r="P54" s="215"/>
      <c r="Q54" s="215"/>
      <c r="R54" s="215"/>
      <c r="S54" s="215"/>
      <c r="T54" s="215"/>
      <c r="U54" s="215"/>
      <c r="V54" s="215"/>
      <c r="W54" s="215"/>
    </row>
    <row r="55" spans="1:23">
      <c r="A55" s="213" t="s">
        <v>36</v>
      </c>
      <c r="B55" s="403">
        <f ca="1">AVERAGE(OFFSET(B$52:B$54,-COUNTA($B$4:B$4),0))</f>
        <v>1.0090000000000001</v>
      </c>
      <c r="C55" s="403">
        <f ca="1">AVERAGE(OFFSET(C$52:C$54,-COUNTA($B$4:C$4),0))</f>
        <v>1.008</v>
      </c>
      <c r="D55" s="403">
        <f ca="1">AVERAGE(OFFSET(D$52:D$54,-COUNTA($B$4:D$4),0))</f>
        <v>1.0073333333333332</v>
      </c>
      <c r="E55" s="403">
        <f ca="1">AVERAGE(OFFSET(E$52:E$54,-COUNTA($B$4:E$4),0))</f>
        <v>1.0056666666666667</v>
      </c>
      <c r="F55" s="403">
        <f ca="1">AVERAGE(OFFSET(F$52:F$54,-COUNTA($B$4:F$4),0))</f>
        <v>1.0053333333333334</v>
      </c>
      <c r="G55" s="403">
        <f ca="1">AVERAGE(OFFSET(G$52:G$54,-COUNTA($B$4:G$4),0))</f>
        <v>1.006</v>
      </c>
      <c r="H55" s="403">
        <f ca="1">AVERAGE(OFFSET(H$52:H$54,-COUNTA($B$4:H$4),0))</f>
        <v>1.0053333333333334</v>
      </c>
      <c r="I55" s="403">
        <f ca="1">AVERAGE(OFFSET(I$52:I$54,-COUNTA($B$4:I$4),0))</f>
        <v>1.006</v>
      </c>
      <c r="J55" s="403">
        <f ca="1">AVERAGE(OFFSET(J$52:J$54,-COUNTA($B$4:J$4),0))</f>
        <v>1.0053333333333332</v>
      </c>
      <c r="K55" s="403">
        <f ca="1">AVERAGE(OFFSET(K$52:K$54,-COUNTA($B$4:K$4),0))</f>
        <v>1.0056666666666667</v>
      </c>
      <c r="L55" s="403">
        <f ca="1">AVERAGE(OFFSET(L$52:L$54,-COUNTA($B$4:L$4),0))</f>
        <v>1.004</v>
      </c>
      <c r="M55" s="403">
        <f ca="1">AVERAGE(OFFSET(M$52:M$54,-COUNTA($B$4:M$4),0))</f>
        <v>1.0036666666666665</v>
      </c>
      <c r="N55" s="403">
        <f ca="1">AVERAGE(OFFSET(N$52:N$54,-COUNTA($B$4:N$4),0))</f>
        <v>1.0026666666666666</v>
      </c>
      <c r="O55" s="403">
        <f ca="1">AVERAGE(OFFSET(O$52:O$54,-COUNTA($B$4:O$4),0))</f>
        <v>1.002</v>
      </c>
      <c r="P55" s="403">
        <f ca="1">AVERAGE(OFFSET(P$52:P$54,-COUNTA($B$4:P$4),0))</f>
        <v>1.0036666666666667</v>
      </c>
      <c r="Q55" s="403">
        <f ca="1">AVERAGE(OFFSET(Q$52:Q$54,-COUNTA($B$4:Q$4),0))</f>
        <v>1.0016666666666667</v>
      </c>
      <c r="R55" s="403">
        <f ca="1">AVERAGE(OFFSET(R$52:R$54,-COUNTA($B$4:R$4),0))</f>
        <v>1.0026666666666666</v>
      </c>
      <c r="S55" s="403">
        <f ca="1">AVERAGE(OFFSET(S$52:S$54,-COUNTA($B$4:S$4),0))</f>
        <v>1.0033333333333332</v>
      </c>
      <c r="T55" s="403">
        <f ca="1">AVERAGE(OFFSET(T$52:T$54,-COUNTA($B$4:T$4),0))</f>
        <v>1.002</v>
      </c>
      <c r="U55" s="403">
        <f ca="1">AVERAGE(OFFSET(U$52:U$54,-COUNTA($B$4:U$4),0))</f>
        <v>1.0013333333333332</v>
      </c>
      <c r="V55" s="403">
        <f ca="1">AVERAGE(OFFSET(V$52:V$54,-COUNTA($B$4:V$4),0))</f>
        <v>1.0016666666666667</v>
      </c>
      <c r="W55" s="215"/>
    </row>
    <row r="56" spans="1:23">
      <c r="A56" s="213" t="s">
        <v>21</v>
      </c>
      <c r="B56" s="403">
        <f ca="1">B55*C56</f>
        <v>1.1764964334848234</v>
      </c>
      <c r="C56" s="403">
        <f t="shared" ref="C56:V56" ca="1" si="2">C55*D56</f>
        <v>1.1660024117788139</v>
      </c>
      <c r="D56" s="403">
        <f t="shared" ca="1" si="2"/>
        <v>1.156748424383744</v>
      </c>
      <c r="E56" s="403">
        <f t="shared" ca="1" si="2"/>
        <v>1.1483273570983563</v>
      </c>
      <c r="F56" s="403">
        <f t="shared" ca="1" si="2"/>
        <v>1.1418568350331684</v>
      </c>
      <c r="G56" s="403">
        <f t="shared" ca="1" si="2"/>
        <v>1.1357992390913478</v>
      </c>
      <c r="H56" s="403">
        <f t="shared" ca="1" si="2"/>
        <v>1.129025088559988</v>
      </c>
      <c r="I56" s="403">
        <f t="shared" ca="1" si="2"/>
        <v>1.1230355655437545</v>
      </c>
      <c r="J56" s="403">
        <f t="shared" ca="1" si="2"/>
        <v>1.1163375403019429</v>
      </c>
      <c r="K56" s="403">
        <f t="shared" ca="1" si="2"/>
        <v>1.1104153252340283</v>
      </c>
      <c r="L56" s="403">
        <f t="shared" ca="1" si="2"/>
        <v>1.1041584274783178</v>
      </c>
      <c r="M56" s="403">
        <f t="shared" ca="1" si="2"/>
        <v>1.0997593899186433</v>
      </c>
      <c r="N56" s="403">
        <f t="shared" ca="1" si="2"/>
        <v>1.0957416704602891</v>
      </c>
      <c r="O56" s="403">
        <f t="shared" ca="1" si="2"/>
        <v>1.092827463889916</v>
      </c>
      <c r="P56" s="403">
        <f t="shared" ca="1" si="2"/>
        <v>1.0906461715468223</v>
      </c>
      <c r="Q56" s="403">
        <f t="shared" ca="1" si="2"/>
        <v>1.0866617451479466</v>
      </c>
      <c r="R56" s="403">
        <f t="shared" ca="1" si="2"/>
        <v>1.0848536557217436</v>
      </c>
      <c r="S56" s="403">
        <f t="shared" ca="1" si="2"/>
        <v>1.0819684066373774</v>
      </c>
      <c r="T56" s="403">
        <f t="shared" ca="1" si="2"/>
        <v>1.078373827213333</v>
      </c>
      <c r="U56" s="403">
        <f t="shared" ca="1" si="2"/>
        <v>1.0762213844444442</v>
      </c>
      <c r="V56" s="403">
        <f t="shared" ca="1" si="2"/>
        <v>1.0747883333333332</v>
      </c>
      <c r="W56" s="402">
        <v>1.073</v>
      </c>
    </row>
    <row r="57" spans="1:23">
      <c r="A57" s="217"/>
      <c r="B57" s="215"/>
      <c r="C57" s="215"/>
      <c r="D57" s="215"/>
      <c r="E57" s="215"/>
      <c r="F57" s="215"/>
      <c r="G57" s="215"/>
      <c r="H57" s="215"/>
      <c r="I57" s="215"/>
      <c r="J57" s="215"/>
      <c r="K57" s="215"/>
      <c r="L57" s="215"/>
      <c r="M57" s="215"/>
      <c r="N57" s="215"/>
      <c r="O57" s="215"/>
      <c r="P57" s="215"/>
      <c r="Q57" s="215"/>
      <c r="R57" s="215"/>
      <c r="S57" s="215"/>
      <c r="T57" s="215"/>
      <c r="U57" s="215"/>
      <c r="V57" s="215"/>
      <c r="W57" s="215"/>
    </row>
    <row r="58" spans="1:23">
      <c r="A58" s="217"/>
      <c r="B58" s="215"/>
      <c r="C58" s="343"/>
      <c r="D58" s="343"/>
      <c r="E58" s="343"/>
      <c r="F58" s="343"/>
      <c r="G58" s="343"/>
      <c r="H58" s="343"/>
      <c r="I58" s="343"/>
      <c r="J58" s="343"/>
      <c r="K58" s="343"/>
      <c r="L58" s="343"/>
      <c r="M58" s="343"/>
      <c r="N58" s="343"/>
      <c r="O58" s="343"/>
      <c r="P58" s="215"/>
      <c r="Q58" s="215"/>
      <c r="R58" s="215"/>
      <c r="S58" s="215"/>
      <c r="T58" s="215"/>
      <c r="U58" s="215"/>
      <c r="V58" s="215"/>
      <c r="W58" s="215"/>
    </row>
    <row r="59" spans="1:23" ht="12.75" customHeight="1">
      <c r="A59" s="18" t="s">
        <v>39</v>
      </c>
      <c r="B59" s="224" t="s">
        <v>489</v>
      </c>
      <c r="C59" s="224"/>
      <c r="D59" s="224"/>
      <c r="E59" s="224"/>
      <c r="F59" s="224"/>
      <c r="G59" s="224"/>
      <c r="H59" s="224"/>
      <c r="I59" s="224"/>
      <c r="J59" s="224"/>
      <c r="K59" s="224"/>
      <c r="L59" s="224"/>
      <c r="M59" s="224"/>
      <c r="N59" s="224"/>
      <c r="O59" s="224"/>
      <c r="P59" s="224"/>
      <c r="Q59" s="224"/>
      <c r="R59" s="337"/>
      <c r="S59" s="337"/>
      <c r="T59" s="337"/>
      <c r="U59" s="384"/>
      <c r="V59" s="337"/>
      <c r="W59" s="337"/>
    </row>
    <row r="60" spans="1:23" ht="12.75" customHeight="1">
      <c r="A60" s="18"/>
      <c r="B60" s="224" t="s">
        <v>490</v>
      </c>
      <c r="C60" s="182"/>
      <c r="D60" s="355"/>
      <c r="E60" s="355"/>
      <c r="F60" s="355"/>
      <c r="G60" s="355"/>
      <c r="H60" s="355"/>
      <c r="I60" s="355"/>
      <c r="J60" s="355"/>
      <c r="K60" s="355"/>
      <c r="L60" s="355"/>
      <c r="M60" s="355"/>
      <c r="N60" s="355"/>
      <c r="O60" s="355"/>
      <c r="P60" s="355"/>
      <c r="Q60" s="355"/>
      <c r="R60" s="355"/>
      <c r="S60" s="355"/>
      <c r="T60" s="355"/>
      <c r="U60" s="355"/>
      <c r="V60" s="355"/>
      <c r="W60" s="84"/>
    </row>
    <row r="61" spans="1:23">
      <c r="A61" s="341"/>
      <c r="B61" s="224"/>
      <c r="C61" s="341"/>
      <c r="D61" s="341"/>
      <c r="E61" s="341"/>
      <c r="F61" s="341"/>
      <c r="G61" s="341"/>
      <c r="H61" s="341"/>
      <c r="I61" s="341"/>
      <c r="J61" s="341"/>
      <c r="K61" s="341"/>
      <c r="L61" s="341"/>
      <c r="M61" s="341"/>
      <c r="N61" s="341"/>
      <c r="O61" s="341"/>
      <c r="P61" s="341"/>
      <c r="Q61" s="341"/>
      <c r="R61" s="341"/>
      <c r="S61" s="341"/>
      <c r="T61" s="341"/>
      <c r="U61" s="387"/>
      <c r="V61" s="341"/>
      <c r="W61" s="341"/>
    </row>
  </sheetData>
  <pageMargins left="0.7" right="0.7" top="0.75" bottom="0.75" header="0.3" footer="0.3"/>
  <pageSetup scale="64" orientation="landscape" blackAndWhite="1" horizontalDpi="1200" verticalDpi="1200"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24</vt:i4>
      </vt:variant>
    </vt:vector>
  </HeadingPairs>
  <TitlesOfParts>
    <vt:vector size="57"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2.5.3 - 2.5.8</vt:lpstr>
      <vt:lpstr>Exhibits 2.5.9 - 2.5.12</vt:lpstr>
      <vt:lpstr>Exhibit 2.6.1</vt:lpstr>
      <vt:lpstr>Exhibit 2.6.2</vt:lpstr>
      <vt:lpstr>Exhibits 2.6.3 - 2.6.8</vt:lpstr>
      <vt:lpstr>Exhibit 3.1</vt:lpstr>
      <vt:lpstr>Exhibit 3.2</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7.2 - BS Method</vt:lpstr>
      <vt:lpstr>Exhibit 7.3</vt:lpstr>
      <vt:lpstr>Exhibit 7.4 - BS Method</vt:lpstr>
      <vt:lpstr>Exhibit 8</vt:lpstr>
      <vt:lpstr>'Exhibit 2.3.2'!Print_Area</vt:lpstr>
      <vt:lpstr>'Exhibit 2.4.1'!Print_Area</vt:lpstr>
      <vt:lpstr>'Exhibit 2.5.1'!Print_Area</vt:lpstr>
      <vt:lpstr>'Exhibit 2.5.2'!Print_Area</vt:lpstr>
      <vt:lpstr>'Exhibit 2.6.1'!Print_Area</vt:lpstr>
      <vt:lpstr>'Exhibit 3.1'!Print_Area</vt:lpstr>
      <vt:lpstr>'Exhibit 3.2'!Print_Area</vt:lpstr>
      <vt:lpstr>'Exhibit 4.1'!Print_Area</vt:lpstr>
      <vt:lpstr>'Exhibit 4.2'!Print_Area</vt:lpstr>
      <vt:lpstr>'Exhibit 4.3'!Print_Area</vt:lpstr>
      <vt:lpstr>'Exhibit 4.4'!Print_Area</vt:lpstr>
      <vt:lpstr>'Exhibit 5.1'!Print_Area</vt:lpstr>
      <vt:lpstr>'Exhibit 5.2'!Print_Area</vt:lpstr>
      <vt:lpstr>'Exhibit 6.1'!Print_Area</vt:lpstr>
      <vt:lpstr>'Exhibit 6.3'!Print_Area</vt:lpstr>
      <vt:lpstr>'Exhibit 6.4'!Print_Area</vt:lpstr>
      <vt:lpstr>'Exhibit 7.1'!Print_Area</vt:lpstr>
      <vt:lpstr>'Exhibit 7.2 - BS Method'!Print_Area</vt:lpstr>
      <vt:lpstr>'Exhibit 7.3'!Print_Area</vt:lpstr>
      <vt:lpstr>'Exhibit 7.4 - BS Method'!Print_Area</vt:lpstr>
      <vt:lpstr>'Exhibit 8'!Print_Area</vt:lpstr>
      <vt:lpstr>'Exhibits 2.5.3 - 2.5.8'!Print_Area</vt:lpstr>
      <vt:lpstr>'Exhibits 2.5.9 - 2.5.12'!Print_Area</vt:lpstr>
      <vt:lpstr>'Exhibits 2.6.3 - 2.6.8'!Print_Area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Tony Milano</cp:lastModifiedBy>
  <cp:lastPrinted>2023-04-24T22:45:54Z</cp:lastPrinted>
  <dcterms:created xsi:type="dcterms:W3CDTF">2016-01-21T17:50:16Z</dcterms:created>
  <dcterms:modified xsi:type="dcterms:W3CDTF">2023-04-28T18:00:35Z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2020-11-17T01:50:38Z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18f4951e-b126-4a61-b1f5-ff0df5022ddf</vt:lpwstr>
  </property>
  <property fmtid="{D5CDD505-2E9C-101B-9397-08002B2CF9AE}" pid="8" name="MSIP_Label_39f8a7aa-03d8-4d7e-81ce-cbbd96e8ad1d_ContentBits">
    <vt:lpwstr>0</vt:lpwstr>
  </property>
</Properties>
</file>